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UuBq97xvCex85F/haFWG8RG++htBK7r7SOurMKx/iKZCNKEcPtd3I70BXa6oLdsuLeJaDdiUUZnrpkGADXS9eA==" workbookSaltValue="Tv40mguTuQ/Mpwr9pdGBgg==" workbookSpinCount="100000" lockStructure="1"/>
  <bookViews>
    <workbookView xWindow="1305" yWindow="5310" windowWidth="17895" windowHeight="9345"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AZ7" i="17"/>
  <c r="BY3" i="17" s="1"/>
  <c r="AY7" i="17"/>
  <c r="BX3" i="17" s="1"/>
  <c r="AW7" i="17"/>
  <c r="BV3" i="17" s="1"/>
  <c r="C6" i="18"/>
  <c r="C32" i="18"/>
  <c r="I52" i="18" s="1"/>
  <c r="P52" i="18" s="1"/>
  <c r="C22" i="18"/>
  <c r="I34" i="18" s="1"/>
  <c r="AO7" i="17"/>
  <c r="BN3" i="17" s="1"/>
  <c r="C35" i="18"/>
  <c r="I59" i="18" s="1"/>
  <c r="P59" i="18" s="1"/>
  <c r="C25" i="18"/>
  <c r="I41" i="18" s="1"/>
  <c r="P41" i="18" s="1"/>
  <c r="C31" i="18"/>
  <c r="C21" i="18"/>
  <c r="I33" i="18" s="1"/>
  <c r="P33" i="18" s="1"/>
  <c r="C36" i="18"/>
  <c r="G71" i="15" s="1"/>
  <c r="C26" i="18"/>
  <c r="I42" i="18" s="1"/>
  <c r="D5" i="18"/>
  <c r="J5" i="18" s="1"/>
  <c r="Q5" i="18" s="1"/>
  <c r="D6" i="18"/>
  <c r="J6" i="18" s="1"/>
  <c r="Q6" i="18" s="1"/>
  <c r="C5" i="18"/>
  <c r="A36" i="24"/>
  <c r="I51" i="18"/>
  <c r="P51" i="18" s="1"/>
  <c r="H40" i="18"/>
  <c r="H22" i="18"/>
  <c r="H17" i="18"/>
  <c r="AT7" i="17"/>
  <c r="BS3" i="17" s="1"/>
  <c r="AR7" i="17"/>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B4" i="17"/>
  <c r="AX4" i="17"/>
  <c r="AT4" i="17"/>
  <c r="AP4" i="17"/>
  <c r="AR4" i="17"/>
  <c r="AY4" i="17"/>
  <c r="AM4" i="17"/>
  <c r="BE4" i="17"/>
  <c r="BA4" i="17"/>
  <c r="AW4" i="17"/>
  <c r="AS4" i="17"/>
  <c r="AO4" i="17"/>
  <c r="AV4" i="17"/>
  <c r="BC4" i="17"/>
  <c r="AU4" i="17"/>
  <c r="AU8" i="17" s="1"/>
  <c r="BT4" i="17" s="1"/>
  <c r="BD4" i="17"/>
  <c r="AZ4" i="17"/>
  <c r="AN4" i="17"/>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BQ3" i="17"/>
  <c r="O62" i="18"/>
  <c r="O26" i="18"/>
  <c r="CO13" i="17"/>
  <c r="O54" i="18"/>
  <c r="O18" i="18"/>
  <c r="BW3" i="17"/>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BF8" i="17" l="1"/>
  <c r="CE4" i="17" s="1"/>
  <c r="AX8" i="17"/>
  <c r="BW4" i="17" s="1"/>
  <c r="O14" i="18"/>
  <c r="BB8" i="17"/>
  <c r="CA4" i="17" s="1"/>
  <c r="DH4" i="17" s="1"/>
  <c r="AP8" i="17"/>
  <c r="BO4" i="17" s="1"/>
  <c r="CV4" i="17" s="1"/>
  <c r="AN8" i="17"/>
  <c r="BM4" i="17" s="1"/>
  <c r="BM5" i="17" s="1"/>
  <c r="AT8" i="17"/>
  <c r="BS4" i="17" s="1"/>
  <c r="CZ4" i="17" s="1"/>
  <c r="DA7" i="17" s="1"/>
  <c r="O46" i="18"/>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AM8" i="17"/>
  <c r="BL4" i="17" s="1"/>
  <c r="O58" i="18"/>
  <c r="BA8" i="17"/>
  <c r="BZ4" i="17" s="1"/>
  <c r="BZ5" i="17" s="1"/>
  <c r="O32" i="18"/>
  <c r="AQ8" i="17"/>
  <c r="BP4" i="17" s="1"/>
  <c r="AS8" i="17"/>
  <c r="BR4" i="17" s="1"/>
  <c r="BS7" i="17" s="1"/>
  <c r="AZ8" i="17"/>
  <c r="BY4" i="17" s="1"/>
  <c r="AO8" i="17"/>
  <c r="BN4" i="17" s="1"/>
  <c r="O38" i="18"/>
  <c r="A111" i="21" s="1"/>
  <c r="BE8" i="17"/>
  <c r="CD4" i="17" s="1"/>
  <c r="CD5" i="17" s="1"/>
  <c r="I60" i="18"/>
  <c r="P60" i="18" s="1"/>
  <c r="DK3" i="17"/>
  <c r="DL6" i="17" s="1"/>
  <c r="ES3" i="17"/>
  <c r="O53" i="18"/>
  <c r="O43" i="18"/>
  <c r="O25" i="18"/>
  <c r="O64" i="18"/>
  <c r="O56" i="18"/>
  <c r="O20" i="18"/>
  <c r="A77" i="21" s="1"/>
  <c r="CY3" i="17"/>
  <c r="CZ6" i="17" s="1"/>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B245" i="21"/>
  <c r="DA4" i="17"/>
  <c r="EI4" i="17"/>
  <c r="CW3" i="17"/>
  <c r="CX6" i="17" s="1"/>
  <c r="CU3" i="17"/>
  <c r="CV6" i="17" s="1"/>
  <c r="EC3" i="17"/>
  <c r="EC20" i="17" s="1"/>
  <c r="EQ3" i="17"/>
  <c r="EQ20" i="17" s="1"/>
  <c r="EN3" i="17"/>
  <c r="EN20" i="17" s="1"/>
  <c r="EP3" i="17"/>
  <c r="EP20" i="17" s="1"/>
  <c r="CT3" i="17"/>
  <c r="CU6" i="17" s="1"/>
  <c r="EB3" i="17"/>
  <c r="DD4" i="17"/>
  <c r="EL4" i="17"/>
  <c r="DB3" i="17"/>
  <c r="EJ3" i="17"/>
  <c r="EJ20" i="17" s="1"/>
  <c r="CS3" i="17"/>
  <c r="CT6" i="17" s="1"/>
  <c r="EA3" i="17"/>
  <c r="EA20" i="17" s="1"/>
  <c r="O35" i="18"/>
  <c r="O17" i="18"/>
  <c r="BW5" i="17"/>
  <c r="CD6" i="17"/>
  <c r="CE6" i="17"/>
  <c r="CO10" i="17"/>
  <c r="CP11" i="17"/>
  <c r="CO11" i="17" s="1"/>
  <c r="BI5" i="17"/>
  <c r="BH5" i="17" s="1"/>
  <c r="BH4" i="17"/>
  <c r="BI14" i="17"/>
  <c r="BH14" i="17" s="1"/>
  <c r="BH13" i="17"/>
  <c r="CE5" i="17"/>
  <c r="BT5" i="17"/>
  <c r="BU6" i="17"/>
  <c r="BW6" i="17"/>
  <c r="BO6" i="17"/>
  <c r="CH3" i="17"/>
  <c r="BR6" i="17"/>
  <c r="BS6" i="17"/>
  <c r="BQ6" i="17"/>
  <c r="DI3" i="17"/>
  <c r="CC6" i="17"/>
  <c r="BM6" i="17"/>
  <c r="CG3" i="17"/>
  <c r="CM3" i="17"/>
  <c r="DG3" i="17"/>
  <c r="CA6" i="17"/>
  <c r="CJ3" i="17"/>
  <c r="DF3" i="17"/>
  <c r="BZ6" i="17"/>
  <c r="DE3" i="17"/>
  <c r="BY6" i="17"/>
  <c r="CI3" i="17"/>
  <c r="DH3" i="17"/>
  <c r="CB6" i="17"/>
  <c r="BN6" i="17"/>
  <c r="BV6" i="17"/>
  <c r="BX6" i="17"/>
  <c r="BP6" i="17"/>
  <c r="BT6" i="17"/>
  <c r="O42" i="18"/>
  <c r="O60" i="18"/>
  <c r="O52" i="18"/>
  <c r="O24" i="18"/>
  <c r="O34" i="18"/>
  <c r="O16" i="18"/>
  <c r="EH4" i="17" l="1"/>
  <c r="BS5" i="17"/>
  <c r="BT7" i="17"/>
  <c r="BT8" i="17" s="1"/>
  <c r="EP4" i="17"/>
  <c r="EP21" i="17" s="1"/>
  <c r="CA5" i="17"/>
  <c r="BZ7" i="17"/>
  <c r="CA10" i="17" s="1"/>
  <c r="CB13" i="17" s="1"/>
  <c r="BU5" i="17"/>
  <c r="EB4" i="17"/>
  <c r="EB21" i="17" s="1"/>
  <c r="EJ4" i="17"/>
  <c r="EJ5" i="17" s="1"/>
  <c r="CT4" i="17"/>
  <c r="CU7" i="17" s="1"/>
  <c r="BM7" i="17"/>
  <c r="BN10" i="17" s="1"/>
  <c r="BO13" i="17" s="1"/>
  <c r="DD7" i="17"/>
  <c r="DE10" i="17" s="1"/>
  <c r="ER4" i="17"/>
  <c r="ER5" i="17" s="1"/>
  <c r="ED4" i="17"/>
  <c r="ED21" i="17" s="1"/>
  <c r="BO5" i="17"/>
  <c r="O75" i="18"/>
  <c r="CC5" i="17"/>
  <c r="EQ4" i="17"/>
  <c r="EQ5" i="17" s="1"/>
  <c r="BQ5" i="17"/>
  <c r="BU7" i="17"/>
  <c r="BU8" i="17" s="1"/>
  <c r="DB7" i="17"/>
  <c r="DC10" i="17" s="1"/>
  <c r="DI7" i="17"/>
  <c r="DJ10" i="17" s="1"/>
  <c r="DG4" i="17"/>
  <c r="DH7" i="17" s="1"/>
  <c r="P85" i="18"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T6" i="17"/>
  <c r="ET23" i="17" s="1"/>
  <c r="ES20" i="17"/>
  <c r="EY20" i="17" s="1"/>
  <c r="EJ7" i="17"/>
  <c r="EI21" i="17"/>
  <c r="EI22" i="17" s="1"/>
  <c r="EJ21" i="17"/>
  <c r="EJ22" i="17" s="1"/>
  <c r="P42" i="18"/>
  <c r="C71" i="15"/>
  <c r="EM7" i="17"/>
  <c r="EM24" i="17" s="1"/>
  <c r="EL21" i="17"/>
  <c r="EL22" i="17" s="1"/>
  <c r="EB20" i="17"/>
  <c r="EW20" i="17" s="1"/>
  <c r="EW3" i="17"/>
  <c r="ER7" i="17"/>
  <c r="EQ21" i="17"/>
  <c r="EQ22" i="17" s="1"/>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I78" i="18"/>
  <c r="BT10" i="17"/>
  <c r="BU13" i="17" s="1"/>
  <c r="I151" i="18" s="1"/>
  <c r="I77" i="18"/>
  <c r="I75" i="18"/>
  <c r="I81" i="18"/>
  <c r="I82" i="18"/>
  <c r="I86" i="18"/>
  <c r="I80" i="18"/>
  <c r="CE9" i="17"/>
  <c r="H137" i="18" s="1"/>
  <c r="H88" i="18"/>
  <c r="P87" i="18"/>
  <c r="DL5" i="17"/>
  <c r="DA9" i="17"/>
  <c r="DO3" i="17"/>
  <c r="DC6" i="17"/>
  <c r="DD5" i="17"/>
  <c r="EQ6" i="17"/>
  <c r="EQ23" i="17" s="1"/>
  <c r="EL5" i="17"/>
  <c r="EM6" i="17"/>
  <c r="EM23" i="17" s="1"/>
  <c r="ER6" i="17"/>
  <c r="ER23" i="17" s="1"/>
  <c r="ES6" i="17"/>
  <c r="ES23" i="17" s="1"/>
  <c r="EP6" i="17"/>
  <c r="EP23" i="17" s="1"/>
  <c r="EY3" i="17"/>
  <c r="EO6" i="17"/>
  <c r="EO23" i="17" s="1"/>
  <c r="ED6" i="17"/>
  <c r="EL6" i="17"/>
  <c r="EL23" i="17" s="1"/>
  <c r="EH5" i="17"/>
  <c r="EI6" i="17"/>
  <c r="EI23" i="17" s="1"/>
  <c r="EK6" i="17"/>
  <c r="EK23" i="17" s="1"/>
  <c r="EC6" i="17"/>
  <c r="EC23" i="17" s="1"/>
  <c r="EN6" i="17"/>
  <c r="EN23" i="17" s="1"/>
  <c r="EX3" i="17"/>
  <c r="EI5" i="17"/>
  <c r="EJ6" i="17"/>
  <c r="EJ23" i="17" s="1"/>
  <c r="ET5" i="17"/>
  <c r="DC9" i="17"/>
  <c r="DB10" i="17"/>
  <c r="CZ9" i="17"/>
  <c r="DB9" i="17"/>
  <c r="CW9" i="17"/>
  <c r="CY9" i="17"/>
  <c r="CV9" i="17"/>
  <c r="CX9" i="17"/>
  <c r="CU9" i="17"/>
  <c r="EB6" i="17"/>
  <c r="EB23" i="17" s="1"/>
  <c r="EV3" i="17"/>
  <c r="CX5" i="17"/>
  <c r="DJ5" i="17"/>
  <c r="DT3" i="17"/>
  <c r="BU9" i="17"/>
  <c r="H127" i="18" s="1"/>
  <c r="BO9" i="17"/>
  <c r="H121" i="18" s="1"/>
  <c r="BZ9" i="17"/>
  <c r="H132" i="18" s="1"/>
  <c r="BR9" i="17"/>
  <c r="BS12" i="17" s="1"/>
  <c r="H101" i="18" s="1"/>
  <c r="CZ5" i="17"/>
  <c r="DC5" i="17"/>
  <c r="DA5" i="17"/>
  <c r="BQ9" i="17"/>
  <c r="H123" i="18"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CB9" i="17"/>
  <c r="H134" i="18" s="1"/>
  <c r="DF7" i="17"/>
  <c r="DJ6" i="17"/>
  <c r="O87" i="18" s="1"/>
  <c r="BX9" i="17"/>
  <c r="H130" i="18" s="1"/>
  <c r="BY9" i="17"/>
  <c r="H131" i="18" s="1"/>
  <c r="CI6" i="17"/>
  <c r="DF9" i="17"/>
  <c r="O131" i="18" s="1"/>
  <c r="DG6" i="17"/>
  <c r="DH6" i="17"/>
  <c r="O85" i="18" s="1"/>
  <c r="DQ3" i="17"/>
  <c r="BN9" i="17"/>
  <c r="H120" i="18" s="1"/>
  <c r="CH6" i="17"/>
  <c r="CV5" i="17"/>
  <c r="CM6" i="17"/>
  <c r="BP9" i="17"/>
  <c r="H122" i="18" s="1"/>
  <c r="BV9" i="17"/>
  <c r="BW12" i="17" s="1"/>
  <c r="H105" i="18" s="1"/>
  <c r="BU10" i="17" l="1"/>
  <c r="BV13" i="17" s="1"/>
  <c r="I152" i="18" s="1"/>
  <c r="EC7" i="17"/>
  <c r="EP5" i="17"/>
  <c r="EB5" i="17"/>
  <c r="EQ7" i="17"/>
  <c r="EQ8" i="17" s="1"/>
  <c r="BM8" i="17"/>
  <c r="ER21" i="17"/>
  <c r="ER22" i="17" s="1"/>
  <c r="CJ5" i="17"/>
  <c r="ES7" i="17"/>
  <c r="ET10" i="17" s="1"/>
  <c r="ET27" i="17" s="1"/>
  <c r="EK7" i="17"/>
  <c r="CT5" i="17"/>
  <c r="BZ8" i="17"/>
  <c r="P71" i="18"/>
  <c r="ED5" i="17"/>
  <c r="P88" i="18"/>
  <c r="BV10" i="17"/>
  <c r="BW13" i="17" s="1"/>
  <c r="BX16" i="17" s="1"/>
  <c r="I178" i="18" s="1"/>
  <c r="CE10" i="17"/>
  <c r="I137" i="18" s="1"/>
  <c r="CM5" i="17"/>
  <c r="DG5" i="17"/>
  <c r="BS10" i="17"/>
  <c r="BT13" i="17" s="1"/>
  <c r="I150" i="18" s="1"/>
  <c r="CD10" i="17"/>
  <c r="CE13" i="17" s="1"/>
  <c r="I113" i="18" s="1"/>
  <c r="O234" i="18" s="1"/>
  <c r="P84" i="18"/>
  <c r="DD10" i="17"/>
  <c r="DE13" i="17" s="1"/>
  <c r="DF16" i="17" s="1"/>
  <c r="DK5" i="17"/>
  <c r="ET7" i="17"/>
  <c r="ET24" i="17" s="1"/>
  <c r="ET25" i="17" s="1"/>
  <c r="EV4" i="17"/>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DD13" i="17"/>
  <c r="DE16" i="17" s="1"/>
  <c r="P128" i="18"/>
  <c r="DL13" i="17"/>
  <c r="P136" i="18"/>
  <c r="DK13" i="17"/>
  <c r="P160" i="18" s="1"/>
  <c r="P135" i="18"/>
  <c r="DP4" i="17"/>
  <c r="DD12" i="17"/>
  <c r="DE15" i="17" s="1"/>
  <c r="O178" i="18" s="1"/>
  <c r="O128" i="18"/>
  <c r="DC12" i="17"/>
  <c r="DD15" i="17" s="1"/>
  <c r="O127" i="18"/>
  <c r="P72" i="18"/>
  <c r="CU5" i="17"/>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07" i="18"/>
  <c r="I131" i="18"/>
  <c r="I134" i="18"/>
  <c r="I129" i="18"/>
  <c r="H149" i="18"/>
  <c r="I146" i="18"/>
  <c r="I147" i="18"/>
  <c r="CY10" i="17"/>
  <c r="CS5" i="17"/>
  <c r="DN4" i="17"/>
  <c r="CU10" i="17"/>
  <c r="EA5" i="17"/>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S22" i="17"/>
  <c r="EY23" i="17"/>
  <c r="ES10" i="17"/>
  <c r="ER24" i="17"/>
  <c r="ER25" i="17" s="1"/>
  <c r="EL10" i="17"/>
  <c r="EK24" i="17"/>
  <c r="EK25" i="17" s="1"/>
  <c r="EW23" i="17"/>
  <c r="EK10" i="17"/>
  <c r="EJ24" i="17"/>
  <c r="EJ25" i="17" s="1"/>
  <c r="EM25" i="17"/>
  <c r="EX23" i="17"/>
  <c r="EP22" i="17"/>
  <c r="EQ24" i="17"/>
  <c r="EQ25" i="17" s="1"/>
  <c r="ED24" i="17"/>
  <c r="ED23" i="17"/>
  <c r="ED10" i="17"/>
  <c r="EC24" i="17"/>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R16" i="17"/>
  <c r="DO7" i="17"/>
  <c r="DT7" i="17"/>
  <c r="BR11" i="17"/>
  <c r="CU8" i="17"/>
  <c r="CW8" i="17"/>
  <c r="DQ7" i="17"/>
  <c r="DP6" i="17"/>
  <c r="BP11" i="17"/>
  <c r="BQ12" i="17"/>
  <c r="H147" i="18" s="1"/>
  <c r="CZ8" i="17"/>
  <c r="DI9" i="17"/>
  <c r="O134" i="18" s="1"/>
  <c r="DH8" i="17"/>
  <c r="DG12" i="17"/>
  <c r="CB11" i="17"/>
  <c r="CC12" i="17"/>
  <c r="H159" i="18" s="1"/>
  <c r="CF3" i="17"/>
  <c r="BO11" i="17"/>
  <c r="BP12" i="17"/>
  <c r="H146" i="18" s="1"/>
  <c r="CM9"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DP7" i="17"/>
  <c r="BU11" i="17"/>
  <c r="BV12" i="17"/>
  <c r="H152" i="18" s="1"/>
  <c r="O249" i="18" s="1"/>
  <c r="EY21" i="17" l="1"/>
  <c r="ER10" i="17"/>
  <c r="CE11" i="17"/>
  <c r="ES24" i="17"/>
  <c r="ES25" i="17" s="1"/>
  <c r="EW5" i="17"/>
  <c r="CE14" i="17"/>
  <c r="EV5" i="17"/>
  <c r="I161" i="18"/>
  <c r="DO5" i="17"/>
  <c r="Q25" i="18" s="1"/>
  <c r="I128" i="18"/>
  <c r="BW14" i="17"/>
  <c r="BV11" i="17"/>
  <c r="DN5" i="17"/>
  <c r="Q17" i="18" s="1"/>
  <c r="CJ8" i="17"/>
  <c r="I135" i="18"/>
  <c r="BS11" i="17"/>
  <c r="I125" i="18"/>
  <c r="EO10" i="17"/>
  <c r="EO27" i="17" s="1"/>
  <c r="EO28" i="17" s="1"/>
  <c r="DT5" i="17"/>
  <c r="DP5" i="17"/>
  <c r="DQ5" i="17"/>
  <c r="O247" i="18"/>
  <c r="CI8" i="17"/>
  <c r="BU16" i="17"/>
  <c r="BV19" i="17" s="1"/>
  <c r="I200" i="18" s="1"/>
  <c r="P129" i="18"/>
  <c r="O256" i="18"/>
  <c r="CD11" i="17"/>
  <c r="EO8" i="17"/>
  <c r="EX8" i="17" s="1"/>
  <c r="I136" i="18"/>
  <c r="BZ11" i="17"/>
  <c r="ET8" i="17"/>
  <c r="O257" i="18"/>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DG19" i="17"/>
  <c r="P204" i="18" s="1"/>
  <c r="P179" i="18"/>
  <c r="EW22" i="17"/>
  <c r="EX5" i="17"/>
  <c r="O246" i="18"/>
  <c r="O250" i="18"/>
  <c r="O258" i="18"/>
  <c r="P106" i="18"/>
  <c r="P154"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CC19" i="17" s="1"/>
  <c r="I207" i="18" s="1"/>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EY25" i="17" l="1"/>
  <c r="BL8" i="17"/>
  <c r="P250" i="18"/>
  <c r="EO11" i="17"/>
  <c r="EP13" i="17"/>
  <c r="EP30" i="17" s="1"/>
  <c r="P226" i="18"/>
  <c r="DB16" i="17"/>
  <c r="DC19" i="17" s="1"/>
  <c r="P200" i="18" s="1"/>
  <c r="P248" i="18"/>
  <c r="DE14" i="17"/>
  <c r="P249" i="18"/>
  <c r="P224" i="18"/>
  <c r="CL4" i="17"/>
  <c r="CI11" i="17"/>
  <c r="I175" i="18"/>
  <c r="I45" i="18"/>
  <c r="P45" i="18" s="1"/>
  <c r="P150" i="18"/>
  <c r="P247" i="18" s="1"/>
  <c r="CJ11" i="17"/>
  <c r="CG7" i="17"/>
  <c r="EY8" i="17"/>
  <c r="EC11" i="17"/>
  <c r="CJ16" i="17"/>
  <c r="CF7" i="17"/>
  <c r="CK7" i="17" s="1"/>
  <c r="CK5" i="17"/>
  <c r="CI16" i="17"/>
  <c r="I182" i="18"/>
  <c r="CR5" i="17"/>
  <c r="DM5" i="17" s="1"/>
  <c r="DS5" i="17" s="1"/>
  <c r="CS7" i="17"/>
  <c r="P70" i="18" s="1"/>
  <c r="I94" i="18"/>
  <c r="P69" i="18"/>
  <c r="I93" i="18"/>
  <c r="O214" i="18" s="1"/>
  <c r="CK4" i="17"/>
  <c r="DP13" i="17"/>
  <c r="BK8" i="17"/>
  <c r="CF8" i="17" s="1"/>
  <c r="ED13" i="17"/>
  <c r="CW14"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CJ19" i="17"/>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Y11" i="17" s="1"/>
  <c r="EX24" i="17"/>
  <c r="EX10" i="17"/>
  <c r="CB17" i="17"/>
  <c r="CE18" i="17"/>
  <c r="BX18" i="17"/>
  <c r="EQ13" i="17"/>
  <c r="EQ30" i="17" s="1"/>
  <c r="EY30" i="17" s="1"/>
  <c r="EP27" i="17"/>
  <c r="EP28" i="17" s="1"/>
  <c r="EY10" i="17"/>
  <c r="BS18" i="17"/>
  <c r="BZ17" i="17"/>
  <c r="ED28" i="17"/>
  <c r="EM31" i="17"/>
  <c r="EQ29" i="17"/>
  <c r="ED30" i="17"/>
  <c r="EL14" i="17"/>
  <c r="EL29" i="17"/>
  <c r="EL31" i="17" s="1"/>
  <c r="EV23" i="17"/>
  <c r="EA25" i="17"/>
  <c r="EV25" i="17" s="1"/>
  <c r="ES14" i="17"/>
  <c r="ES29" i="17"/>
  <c r="ES31" i="17" s="1"/>
  <c r="EN14" i="17"/>
  <c r="EN29" i="17"/>
  <c r="EN31" i="17" s="1"/>
  <c r="EO31" i="17"/>
  <c r="EP14" i="17"/>
  <c r="EP29" i="17"/>
  <c r="EP31" i="17" s="1"/>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ED14" i="17"/>
  <c r="CI1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G8" i="17"/>
  <c r="I18" i="18" s="1"/>
  <c r="CJ14" i="17"/>
  <c r="DR4" i="17"/>
  <c r="DS4" i="17"/>
  <c r="DQ11" i="17"/>
  <c r="CG9" i="17"/>
  <c r="BN12" i="17"/>
  <c r="CH9" i="17"/>
  <c r="BM11" i="17"/>
  <c r="CH11" i="17" s="1"/>
  <c r="I27" i="18" s="1"/>
  <c r="P27" i="18" s="1"/>
  <c r="CV14" i="17"/>
  <c r="DT12" i="17"/>
  <c r="DN6" i="17"/>
  <c r="BL11" i="17"/>
  <c r="BM12" i="17"/>
  <c r="DP12" i="17"/>
  <c r="CI14" i="17"/>
  <c r="BM13" i="17"/>
  <c r="CG10" i="17"/>
  <c r="CL7" i="17" l="1"/>
  <c r="H142" i="18"/>
  <c r="DJ19" i="17"/>
  <c r="P207" i="18" s="1"/>
  <c r="P175" i="18"/>
  <c r="DB17" i="17"/>
  <c r="DC20" i="17"/>
  <c r="EX30" i="17"/>
  <c r="DR5" i="17"/>
  <c r="CS8" i="17"/>
  <c r="DM8" i="17" s="1"/>
  <c r="DR8" i="17" s="1"/>
  <c r="DN7" i="17"/>
  <c r="O215" i="18"/>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EX31" i="17" s="1"/>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EY14" i="17" s="1"/>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L8" i="17"/>
  <c r="CK8" i="17"/>
  <c r="CH13" i="17"/>
  <c r="CG12" i="17"/>
  <c r="DM9" i="17"/>
  <c r="P18" i="18"/>
  <c r="DN9" i="17"/>
  <c r="DW10" i="17" l="1"/>
  <c r="DW16" i="17" s="1"/>
  <c r="DW8" i="17"/>
  <c r="CF12" i="17"/>
  <c r="CK12" i="17" s="1"/>
  <c r="DW7" i="17"/>
  <c r="P144" i="18"/>
  <c r="DN8" i="17"/>
  <c r="Q18" i="18" s="1"/>
  <c r="DO10" i="17"/>
  <c r="CT11" i="17"/>
  <c r="DM11" i="17" s="1"/>
  <c r="DN10" i="17"/>
  <c r="DM10" i="17"/>
  <c r="DR10" i="17" s="1"/>
  <c r="P119" i="18"/>
  <c r="Q63" i="18" s="1"/>
  <c r="DR7" i="17"/>
  <c r="H167" i="18"/>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10" i="17"/>
  <c r="DS8" i="17"/>
  <c r="DH20" i="17"/>
  <c r="DP18" i="17"/>
  <c r="DQ18" i="17"/>
  <c r="BN17" i="17"/>
  <c r="BO18" i="17"/>
  <c r="H193" i="18" s="1"/>
  <c r="BO17" i="17"/>
  <c r="CM17" i="17" s="1"/>
  <c r="BP18" i="17"/>
  <c r="H194" i="18" s="1"/>
  <c r="CM15" i="17"/>
  <c r="DQ17" i="17"/>
  <c r="DP17" i="17"/>
  <c r="CM16" i="17"/>
  <c r="BP19" i="17"/>
  <c r="CL11" i="17"/>
  <c r="CK11" i="17"/>
  <c r="DM12" i="17"/>
  <c r="DR12" i="17" s="1"/>
  <c r="DO13" i="17"/>
  <c r="DR9" i="17"/>
  <c r="DS9" i="17"/>
  <c r="CU14" i="17"/>
  <c r="CH14" i="17"/>
  <c r="I28" i="18" s="1"/>
  <c r="CL12" i="17" l="1"/>
  <c r="DW9" i="17"/>
  <c r="DW17" i="17" s="1"/>
  <c r="DX1" i="17" s="1"/>
  <c r="P241" i="18"/>
  <c r="T10" i="18"/>
  <c r="DO11" i="17"/>
  <c r="Q27" i="18" s="1"/>
  <c r="DN11" i="17"/>
  <c r="Q19" i="18" s="1"/>
  <c r="T9" i="18"/>
  <c r="U9" i="18" s="1"/>
  <c r="Q55" i="18"/>
  <c r="P166" i="18"/>
  <c r="CT19" i="17"/>
  <c r="DO19" i="17" s="1"/>
  <c r="DR13" i="17"/>
  <c r="CS17" i="17"/>
  <c r="CL13" i="17"/>
  <c r="BN19" i="17"/>
  <c r="I192" i="18" s="1"/>
  <c r="I56" i="18"/>
  <c r="E74" i="19" s="1"/>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9" i="17" l="1"/>
  <c r="EE4" i="17"/>
  <c r="EE7" i="17"/>
  <c r="DX18" i="17"/>
  <c r="EE12" i="17"/>
  <c r="EF4" i="17"/>
  <c r="EF21" i="17" s="1"/>
  <c r="C37" i="21"/>
  <c r="EG4" i="17"/>
  <c r="EE6" i="17"/>
  <c r="EE3" i="17"/>
  <c r="EE10" i="17"/>
  <c r="EG3" i="17"/>
  <c r="EE13" i="17"/>
  <c r="EE30" i="17" s="1"/>
  <c r="EF3" i="17"/>
  <c r="EF7" i="17"/>
  <c r="EF9" i="17"/>
  <c r="EG7" i="17"/>
  <c r="U10" i="18"/>
  <c r="D44" i="21" s="1"/>
  <c r="CT20" i="17"/>
  <c r="DN20" i="17" s="1"/>
  <c r="E75" i="19"/>
  <c r="BK18" i="17"/>
  <c r="H189" i="18" s="1"/>
  <c r="P191" i="18"/>
  <c r="P56" i="18"/>
  <c r="E116" i="21" s="1"/>
  <c r="BN20" i="17"/>
  <c r="DN17" i="17"/>
  <c r="CL14" i="17"/>
  <c r="C12" i="19"/>
  <c r="G71" i="19"/>
  <c r="G70" i="19"/>
  <c r="Q10" i="18"/>
  <c r="K10" i="18"/>
  <c r="R10" i="18" s="1"/>
  <c r="C83" i="21"/>
  <c r="CG17" i="17"/>
  <c r="P20" i="18"/>
  <c r="DS15" i="17"/>
  <c r="CV20" i="17"/>
  <c r="DT20" i="17" s="1"/>
  <c r="CH19" i="17"/>
  <c r="H191" i="18"/>
  <c r="BM20" i="17"/>
  <c r="CH18" i="17"/>
  <c r="CH17" i="17"/>
  <c r="C82" i="21"/>
  <c r="D6" i="19"/>
  <c r="D7" i="19" s="1"/>
  <c r="R8" i="18"/>
  <c r="D46" i="21"/>
  <c r="P193" i="18"/>
  <c r="DM19" i="17"/>
  <c r="DS19" i="17" s="1"/>
  <c r="P189" i="18"/>
  <c r="CR18" i="17"/>
  <c r="CR20" i="17" s="1"/>
  <c r="DN19" i="17"/>
  <c r="P190" i="18"/>
  <c r="DM17" i="17"/>
  <c r="DR17" i="17" s="1"/>
  <c r="E117" i="21"/>
  <c r="G113" i="21"/>
  <c r="O192" i="18"/>
  <c r="CU20" i="17"/>
  <c r="DO18" i="17"/>
  <c r="DO17" i="17"/>
  <c r="G112" i="21"/>
  <c r="DR16" i="17"/>
  <c r="BL18" i="17"/>
  <c r="BK17" i="17"/>
  <c r="CF17" i="17" s="1"/>
  <c r="CF15" i="17"/>
  <c r="CM20" i="17"/>
  <c r="CF16" i="17"/>
  <c r="BL19" i="17"/>
  <c r="DR14" i="17"/>
  <c r="DS14" i="17"/>
  <c r="EG24" i="17" l="1"/>
  <c r="EH10" i="17"/>
  <c r="EF24" i="17"/>
  <c r="EF13" i="17"/>
  <c r="EE27" i="17"/>
  <c r="D38" i="21"/>
  <c r="D39" i="21"/>
  <c r="D37" i="21"/>
  <c r="C38" i="21"/>
  <c r="C39" i="21"/>
  <c r="EE24" i="17"/>
  <c r="FB7" i="17"/>
  <c r="EF10" i="17"/>
  <c r="FB10" i="17" s="1"/>
  <c r="EG6" i="17"/>
  <c r="EF5" i="17"/>
  <c r="EF20" i="17"/>
  <c r="EF22" i="17" s="1"/>
  <c r="EF6" i="17"/>
  <c r="EU3" i="17"/>
  <c r="EE5" i="17"/>
  <c r="EE20" i="17"/>
  <c r="FB3" i="17"/>
  <c r="EE21" i="17"/>
  <c r="FB4" i="17"/>
  <c r="EU4" i="17"/>
  <c r="EF26" i="17"/>
  <c r="EG12" i="17"/>
  <c r="EF11" i="17"/>
  <c r="EE23" i="17"/>
  <c r="EE8" i="17"/>
  <c r="EE29" i="17"/>
  <c r="EE31" i="17" s="1"/>
  <c r="EE14" i="17"/>
  <c r="EF12" i="17"/>
  <c r="EE11" i="17"/>
  <c r="EE26" i="17"/>
  <c r="EG10" i="17"/>
  <c r="EH6" i="17"/>
  <c r="EG5" i="17"/>
  <c r="EG20" i="17"/>
  <c r="EG21" i="17"/>
  <c r="EH7" i="17"/>
  <c r="DO20" i="17"/>
  <c r="D10" i="19"/>
  <c r="D47" i="21" s="1"/>
  <c r="BK20" i="17"/>
  <c r="CH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G22" i="17" l="1"/>
  <c r="EE25" i="17"/>
  <c r="EZ4" i="17"/>
  <c r="FA4" i="17"/>
  <c r="EE22" i="17"/>
  <c r="EU20" i="17"/>
  <c r="FB20" i="17"/>
  <c r="DZ9" i="17"/>
  <c r="DZ10" i="17"/>
  <c r="EI13" i="17"/>
  <c r="EI30" i="17" s="1"/>
  <c r="EH27" i="17"/>
  <c r="EE28" i="17"/>
  <c r="FB5" i="17"/>
  <c r="EU5" i="17"/>
  <c r="DZ7" i="17"/>
  <c r="DZ6" i="17"/>
  <c r="EF30" i="17"/>
  <c r="EI10" i="17"/>
  <c r="EH24" i="17"/>
  <c r="EH23" i="17"/>
  <c r="EI9" i="17"/>
  <c r="EH8" i="17"/>
  <c r="EG29" i="17"/>
  <c r="EU21" i="17"/>
  <c r="FB21" i="17"/>
  <c r="EZ3" i="17"/>
  <c r="FA3" i="17"/>
  <c r="EG23" i="17"/>
  <c r="EH9" i="17"/>
  <c r="FB24" i="17"/>
  <c r="EG8" i="17"/>
  <c r="EG27" i="17"/>
  <c r="EH13" i="17"/>
  <c r="EH30" i="17" s="1"/>
  <c r="EF29" i="17"/>
  <c r="EF14" i="17"/>
  <c r="FB12" i="17"/>
  <c r="FB6" i="17"/>
  <c r="EF23" i="17"/>
  <c r="EF25" i="17" s="1"/>
  <c r="EG9" i="17"/>
  <c r="EF27" i="17"/>
  <c r="EF28" i="17" s="1"/>
  <c r="EG13" i="17"/>
  <c r="EG30" i="17" s="1"/>
  <c r="EF8" i="17"/>
  <c r="FB8" i="17" s="1"/>
  <c r="D11" i="19"/>
  <c r="CK18" i="17"/>
  <c r="DS20" i="17"/>
  <c r="DS18" i="17"/>
  <c r="CK19" i="17"/>
  <c r="CL19" i="17"/>
  <c r="CF20" i="17"/>
  <c r="FB23" i="17" l="1"/>
  <c r="FB13" i="17"/>
  <c r="EH25" i="17"/>
  <c r="EI12" i="17"/>
  <c r="EH26" i="17"/>
  <c r="EH11" i="17"/>
  <c r="DZ13" i="17"/>
  <c r="DZ12" i="17"/>
  <c r="EZ5" i="17"/>
  <c r="FA5" i="17"/>
  <c r="EH28" i="17"/>
  <c r="DZ26" i="17"/>
  <c r="EA12" i="17"/>
  <c r="DZ11" i="17"/>
  <c r="EG26" i="17"/>
  <c r="EH12" i="17"/>
  <c r="EG11" i="17"/>
  <c r="FB11" i="17" s="1"/>
  <c r="FB9" i="17"/>
  <c r="EZ21" i="17"/>
  <c r="FA21" i="17"/>
  <c r="FB29" i="17"/>
  <c r="EG31" i="17"/>
  <c r="EJ13" i="17"/>
  <c r="EJ30" i="17" s="1"/>
  <c r="EI27" i="17"/>
  <c r="DZ23" i="17"/>
  <c r="EU6" i="17"/>
  <c r="DZ8" i="17"/>
  <c r="EU8" i="17" s="1"/>
  <c r="EA9" i="17"/>
  <c r="FB27" i="17"/>
  <c r="FA20" i="17"/>
  <c r="EZ20" i="17"/>
  <c r="FB30" i="17"/>
  <c r="EF31" i="17"/>
  <c r="EG14" i="17"/>
  <c r="FB14" i="17" s="1"/>
  <c r="EI26" i="17"/>
  <c r="EI11" i="17"/>
  <c r="EJ12" i="17"/>
  <c r="EG25" i="17"/>
  <c r="FB25" i="17" s="1"/>
  <c r="EA10" i="17"/>
  <c r="EU7" i="17"/>
  <c r="DZ24" i="17"/>
  <c r="EU24" i="17" s="1"/>
  <c r="EA13" i="17"/>
  <c r="EA30" i="17" s="1"/>
  <c r="DZ27" i="17"/>
  <c r="EU22" i="17"/>
  <c r="FB22" i="17"/>
  <c r="CK20" i="17"/>
  <c r="CL20" i="17"/>
  <c r="EI28" i="17" l="1"/>
  <c r="FB31" i="17"/>
  <c r="EA27" i="17"/>
  <c r="EV27" i="17" s="1"/>
  <c r="EB13" i="17"/>
  <c r="EV10" i="17"/>
  <c r="EZ8" i="17"/>
  <c r="FA8" i="17"/>
  <c r="EH29" i="17"/>
  <c r="EH31" i="17" s="1"/>
  <c r="EH14" i="17"/>
  <c r="DZ28" i="17"/>
  <c r="DZ29" i="17"/>
  <c r="DZ14" i="17"/>
  <c r="EI29" i="17"/>
  <c r="EI31" i="17" s="1"/>
  <c r="EI14" i="17"/>
  <c r="FA6" i="17"/>
  <c r="EZ6" i="17"/>
  <c r="EG28" i="17"/>
  <c r="FB28" i="17" s="1"/>
  <c r="FB26" i="17"/>
  <c r="DZ30" i="17"/>
  <c r="EU13" i="17"/>
  <c r="EZ22" i="17"/>
  <c r="H36" i="21"/>
  <c r="FA22" i="17"/>
  <c r="FA24" i="17"/>
  <c r="EZ24" i="17"/>
  <c r="EJ29" i="17"/>
  <c r="EJ31" i="17" s="1"/>
  <c r="EJ14" i="17"/>
  <c r="DZ25" i="17"/>
  <c r="EU25" i="17" s="1"/>
  <c r="EU23" i="17"/>
  <c r="EU10" i="17"/>
  <c r="FA7" i="17"/>
  <c r="EZ7" i="17"/>
  <c r="EU9" i="17"/>
  <c r="EA26" i="17"/>
  <c r="EB12" i="17"/>
  <c r="EA11" i="17"/>
  <c r="EV11" i="17" s="1"/>
  <c r="EV9" i="17"/>
  <c r="EA29" i="17"/>
  <c r="EA14" i="17"/>
  <c r="EU27" i="17" l="1"/>
  <c r="H37" i="21"/>
  <c r="FA25" i="17"/>
  <c r="EZ25" i="17"/>
  <c r="FA13" i="17"/>
  <c r="EZ13" i="17"/>
  <c r="EZ27" i="17"/>
  <c r="FA27" i="17"/>
  <c r="EB14" i="17"/>
  <c r="EW14" i="17" s="1"/>
  <c r="EW12" i="17"/>
  <c r="EB29" i="17"/>
  <c r="EV29" i="17" s="1"/>
  <c r="EV12" i="17"/>
  <c r="EU14" i="17"/>
  <c r="EU11" i="17"/>
  <c r="EA31" i="17"/>
  <c r="EV26" i="17"/>
  <c r="EA28" i="17"/>
  <c r="EV28" i="17" s="1"/>
  <c r="FA10" i="17"/>
  <c r="EZ10" i="17"/>
  <c r="EU12" i="17"/>
  <c r="DZ31" i="17"/>
  <c r="EV13" i="17"/>
  <c r="EB30" i="17"/>
  <c r="EW13" i="17"/>
  <c r="FA9" i="17"/>
  <c r="EZ9" i="17"/>
  <c r="EZ23" i="17"/>
  <c r="FA23" i="17"/>
  <c r="EU26" i="17"/>
  <c r="EU28" i="17" l="1"/>
  <c r="EZ12" i="17"/>
  <c r="FA12" i="17"/>
  <c r="FA14" i="17"/>
  <c r="EZ14" i="17"/>
  <c r="EW30" i="17"/>
  <c r="EV30" i="17"/>
  <c r="EU30" i="17"/>
  <c r="H38" i="21"/>
  <c r="FA28" i="17"/>
  <c r="EZ28" i="17"/>
  <c r="EV14" i="17"/>
  <c r="EZ26" i="17"/>
  <c r="FA26" i="17"/>
  <c r="EZ11" i="17"/>
  <c r="FA11" i="17"/>
  <c r="EU29" i="17"/>
  <c r="EB31" i="17"/>
  <c r="EW31" i="17" s="1"/>
  <c r="EW29" i="17"/>
  <c r="EU31" i="17" l="1"/>
  <c r="EV31" i="17"/>
  <c r="EZ30" i="17"/>
  <c r="FA30" i="17"/>
  <c r="EZ29" i="17"/>
  <c r="FA29" i="17"/>
  <c r="H39" i="21" l="1"/>
  <c r="EZ31" i="17"/>
  <c r="FA31" i="17"/>
</calcChain>
</file>

<file path=xl/sharedStrings.xml><?xml version="1.0" encoding="utf-8"?>
<sst xmlns="http://schemas.openxmlformats.org/spreadsheetml/2006/main" count="1369" uniqueCount="452">
  <si>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</si>
  <si>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</si>
  <si>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</si>
  <si>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</si>
  <si>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</si>
  <si>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</si>
  <si>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</si>
  <si>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</si>
  <si>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</si>
  <si>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</si>
  <si>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</si>
  <si>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</si>
  <si>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</si>
  <si>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</si>
  <si>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</si>
  <si>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</si>
  <si>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</si>
  <si>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</si>
  <si>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</si>
  <si>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</si>
  <si>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</si>
  <si>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</si>
  <si>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</si>
  <si>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</si>
  <si>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</si>
  <si>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</si>
  <si>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</si>
  <si>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</si>
  <si>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</si>
  <si>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</si>
  <si>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</si>
  <si>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</si>
  <si>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</si>
  <si>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</si>
  <si>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</si>
  <si>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</si>
  <si>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</si>
  <si>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</si>
  <si>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</si>
  <si>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</si>
  <si>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</si>
  <si>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</si>
  <si>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</si>
  <si>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</si>
  <si>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</si>
  <si>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</si>
  <si>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</si>
  <si>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</si>
  <si>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</si>
  <si>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</si>
  <si>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</si>
  <si>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</si>
  <si>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</si>
  <si>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</si>
  <si>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</si>
  <si>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</si>
  <si>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</si>
  <si>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</si>
  <si>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</si>
  <si>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</si>
  <si>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</si>
  <si>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</si>
  <si>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</si>
  <si>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</si>
  <si>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</si>
  <si>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</si>
  <si>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</si>
  <si>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</si>
  <si>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</si>
  <si>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</si>
  <si>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</si>
  <si>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</si>
  <si>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</si>
  <si>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</si>
  <si>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</si>
  <si>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</si>
  <si>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</si>
  <si>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</si>
  <si>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</si>
  <si>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</si>
  <si>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</si>
  <si>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</si>
  <si>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</si>
  <si>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</si>
  <si>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</si>
  <si>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</si>
  <si>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</si>
  <si>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</si>
  <si>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</si>
  <si>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</si>
  <si>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</si>
  <si>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</si>
  <si>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</si>
  <si>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</si>
  <si>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</si>
  <si>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</si>
  <si>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</si>
  <si>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</si>
  <si>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</si>
  <si>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</si>
  <si>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</si>
  <si>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</si>
  <si>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</si>
  <si>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</si>
  <si>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</si>
  <si>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</si>
  <si>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</si>
  <si>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</si>
  <si>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</si>
  <si>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</si>
  <si>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</si>
  <si>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</si>
  <si>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</si>
  <si>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</si>
  <si>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</si>
  <si>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</si>
  <si>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</si>
  <si>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</si>
  <si>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</si>
  <si>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</si>
  <si>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</si>
  <si>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</si>
  <si>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</si>
  <si>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</si>
  <si>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</si>
  <si>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</si>
  <si>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</si>
  <si>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</si>
  <si>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</si>
  <si>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</si>
  <si>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</si>
  <si>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</si>
  <si>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</si>
  <si>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</si>
  <si>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</si>
  <si>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</si>
  <si>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</si>
  <si>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</si>
  <si>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</si>
  <si>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</si>
  <si>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</si>
  <si>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</si>
  <si>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</si>
  <si>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</si>
  <si>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</si>
  <si>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</si>
  <si>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</si>
  <si>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</si>
  <si>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</si>
  <si>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</si>
  <si>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</si>
  <si>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</si>
  <si>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</si>
  <si>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</si>
  <si>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</si>
  <si>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</si>
  <si>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</si>
  <si>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</si>
  <si>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</si>
  <si>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</si>
  <si>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</si>
  <si>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</si>
  <si>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</si>
  <si>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</si>
  <si>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</si>
  <si>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</si>
  <si>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</si>
  <si>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</si>
  <si>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</si>
  <si>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</si>
  <si>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</si>
  <si>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</si>
  <si>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</si>
  <si>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</si>
  <si>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</si>
  <si>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</si>
  <si>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</si>
  <si>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</si>
  <si>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</si>
  <si>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</si>
  <si>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</si>
  <si>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</si>
  <si>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</si>
  <si>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</si>
  <si>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</si>
  <si>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</si>
  <si>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</si>
  <si>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</si>
  <si>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</si>
  <si>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</si>
  <si>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</si>
  <si>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</si>
  <si>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</si>
  <si>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</si>
  <si>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</si>
  <si>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</si>
  <si>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</si>
  <si>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</si>
  <si>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</si>
  <si>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</si>
  <si>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</si>
  <si>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</si>
  <si>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</si>
  <si>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</si>
  <si>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</si>
  <si>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</si>
  <si>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</si>
  <si>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</si>
  <si>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</si>
  <si>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</si>
  <si>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</si>
  <si>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</si>
  <si>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</si>
  <si>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</si>
  <si>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</si>
  <si>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</si>
  <si>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</si>
  <si>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</si>
  <si>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</si>
  <si>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</si>
  <si>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</si>
  <si>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</si>
  <si>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</si>
  <si>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</si>
  <si>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</si>
  <si>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</si>
  <si>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</si>
  <si>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</si>
  <si>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</si>
  <si>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</si>
  <si>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</si>
  <si>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</si>
  <si>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</si>
  <si>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</si>
  <si>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</si>
  <si>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</si>
  <si>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</si>
  <si>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</si>
  <si>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</si>
  <si>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</si>
  <si>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</si>
  <si>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</si>
  <si>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</si>
  <si>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</si>
  <si>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</si>
  <si>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</si>
  <si>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</si>
  <si>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</si>
  <si>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</si>
  <si>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</si>
  <si>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</si>
  <si>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</si>
  <si>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</si>
  <si>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</si>
  <si>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</si>
  <si>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</si>
  <si>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</si>
  <si>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</si>
  <si>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</si>
  <si>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</si>
  <si>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</si>
  <si>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</si>
  <si>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</si>
  <si>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</si>
  <si>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</si>
  <si>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</si>
  <si>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</si>
  <si>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</si>
  <si>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</si>
  <si>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</si>
  <si>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</si>
  <si>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</si>
  <si>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</si>
  <si>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</si>
  <si>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</si>
  <si>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</si>
  <si>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</si>
  <si>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</si>
  <si>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</si>
  <si>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</si>
  <si>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</si>
  <si>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</si>
  <si>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</si>
  <si>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</si>
  <si>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</si>
  <si>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</si>
  <si>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</si>
  <si>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</si>
  <si>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</si>
  <si>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</si>
  <si>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</si>
  <si>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</si>
  <si>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</si>
  <si>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</si>
  <si>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</si>
  <si>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</si>
  <si>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</si>
  <si>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</si>
  <si>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</si>
  <si>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</si>
  <si>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</si>
  <si>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</si>
  <si>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</si>
  <si>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</si>
  <si>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</si>
  <si>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</si>
  <si>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</si>
  <si>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</si>
  <si>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</si>
  <si>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</si>
  <si>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</si>
  <si>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</si>
  <si>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</si>
  <si>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</si>
  <si>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</si>
  <si>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</si>
  <si>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</si>
  <si>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</si>
  <si>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</si>
  <si>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</si>
  <si>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</si>
  <si>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</si>
  <si>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</si>
  <si>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</si>
  <si>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</si>
  <si>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</si>
  <si>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</si>
  <si>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</si>
  <si>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</si>
  <si>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</si>
  <si>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</si>
  <si>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</si>
  <si>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</si>
  <si>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</si>
  <si>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</si>
  <si>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</si>
  <si>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</si>
  <si>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</si>
  <si>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</si>
  <si>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</si>
  <si>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</si>
  <si>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</si>
  <si>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</si>
  <si>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</si>
  <si>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</si>
  <si>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</si>
  <si>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</si>
  <si>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</si>
  <si>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</si>
  <si>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</si>
  <si>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</si>
  <si>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</si>
  <si>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</si>
  <si>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</si>
  <si>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</si>
  <si>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</si>
  <si>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</si>
  <si>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</si>
  <si>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</si>
  <si>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</si>
  <si>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</si>
  <si>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</si>
  <si>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</si>
  <si>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</si>
  <si>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</si>
  <si>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</si>
  <si>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</si>
  <si>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</si>
  <si>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</si>
  <si>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</si>
  <si>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</si>
  <si>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</si>
  <si>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</si>
  <si>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</si>
  <si>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</si>
  <si>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</si>
  <si>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</si>
  <si>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</si>
  <si>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</si>
  <si>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</si>
  <si>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</si>
  <si>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</si>
  <si>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</si>
  <si>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</si>
  <si>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</si>
  <si>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</si>
  <si>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</si>
  <si>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</si>
  <si>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</si>
  <si>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</si>
  <si>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</si>
  <si>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</si>
  <si>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</si>
  <si>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</si>
  <si>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</si>
  <si>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</si>
  <si>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</si>
  <si>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</si>
  <si>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</si>
  <si>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</si>
  <si>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</si>
  <si>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</si>
  <si>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</si>
  <si>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</si>
  <si>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</si>
  <si>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</si>
  <si>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</si>
  <si>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</si>
  <si>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</si>
  <si>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</si>
  <si>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</si>
  <si>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</si>
  <si>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</si>
  <si>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</si>
  <si>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</si>
  <si>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</si>
  <si>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</si>
  <si>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</si>
  <si>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</si>
  <si>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</si>
  <si>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</si>
  <si>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</si>
  <si>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</si>
  <si>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</si>
  <si>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</si>
  <si>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</si>
  <si>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</si>
  <si>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</si>
  <si>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45203_1</t>
  </si>
  <si>
    <t>延岡市</t>
    <rPh sb="0" eb="3">
      <t>ノベオカシ</t>
    </rPh>
    <phoneticPr fontId="1"/>
  </si>
  <si>
    <t>川中地区</t>
  </si>
  <si>
    <t>45203_2</t>
  </si>
  <si>
    <t>岡富地区</t>
  </si>
  <si>
    <t>45203_3</t>
  </si>
  <si>
    <t>恒富地区</t>
  </si>
  <si>
    <t>45203_4</t>
  </si>
  <si>
    <t>東海地区</t>
  </si>
  <si>
    <t>45203_5</t>
  </si>
  <si>
    <t>伊形地区</t>
  </si>
  <si>
    <t>45203_6</t>
  </si>
  <si>
    <t>南方地区</t>
  </si>
  <si>
    <t>45203_7</t>
  </si>
  <si>
    <t>南浦地区</t>
  </si>
  <si>
    <t>45203_8</t>
  </si>
  <si>
    <t>北方地区</t>
  </si>
  <si>
    <t>45203_9</t>
  </si>
  <si>
    <t>北浦地区</t>
  </si>
  <si>
    <t>45203_10</t>
  </si>
  <si>
    <t>北川地区</t>
  </si>
  <si>
    <t>45203_3</t>
    <phoneticPr fontId="2"/>
  </si>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</sst>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3">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187" fontId="32" fillId="5" borderId="0" xfId="0" applyNumberFormat="1" applyFont="1" applyFill="1" applyAlignment="1">
      <alignment horizontal="center"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2297</c:v>
                </c:pt>
                <c:pt idx="1">
                  <c:v>2130</c:v>
                </c:pt>
                <c:pt idx="2">
                  <c:v>1917</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5914888"/>
        <c:axId val="395917240"/>
      </c:barChart>
      <c:catAx>
        <c:axId val="3959148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917240"/>
        <c:crosses val="autoZero"/>
        <c:auto val="1"/>
        <c:lblAlgn val="ctr"/>
        <c:lblOffset val="100"/>
        <c:noMultiLvlLbl val="0"/>
      </c:catAx>
      <c:valAx>
        <c:axId val="3959172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9148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1111</c:v>
                </c:pt>
                <c:pt idx="1">
                  <c:v>1054</c:v>
                </c:pt>
                <c:pt idx="2">
                  <c:v>959</c:v>
                </c:pt>
                <c:pt idx="3">
                  <c:v>864</c:v>
                </c:pt>
                <c:pt idx="4">
                  <c:v>741</c:v>
                </c:pt>
                <c:pt idx="5">
                  <c:v>630</c:v>
                </c:pt>
                <c:pt idx="6">
                  <c:v>548</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6788832"/>
        <c:axId val="396789224"/>
      </c:barChart>
      <c:catAx>
        <c:axId val="3967888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789224"/>
        <c:crosses val="autoZero"/>
        <c:auto val="1"/>
        <c:lblAlgn val="ctr"/>
        <c:lblOffset val="100"/>
        <c:noMultiLvlLbl val="0"/>
      </c:catAx>
      <c:valAx>
        <c:axId val="3967892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7888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0.25</c:v>
                </c:pt>
                <c:pt idx="1">
                  <c:v>0.28999999999999998</c:v>
                </c:pt>
                <c:pt idx="2">
                  <c:v>0.32</c:v>
                </c:pt>
                <c:pt idx="3">
                  <c:v>0.34</c:v>
                </c:pt>
                <c:pt idx="4">
                  <c:v>0.35</c:v>
                </c:pt>
                <c:pt idx="5">
                  <c:v>0.36</c:v>
                </c:pt>
                <c:pt idx="6">
                  <c:v>0.38</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6791576"/>
        <c:axId val="396792360"/>
      </c:barChart>
      <c:catAx>
        <c:axId val="3967915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792360"/>
        <c:crosses val="autoZero"/>
        <c:auto val="1"/>
        <c:lblAlgn val="ctr"/>
        <c:lblOffset val="100"/>
        <c:noMultiLvlLbl val="0"/>
      </c:catAx>
      <c:valAx>
        <c:axId val="3967923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79157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0.14000000000000001</c:v>
                </c:pt>
                <c:pt idx="1">
                  <c:v>0.15</c:v>
                </c:pt>
                <c:pt idx="2">
                  <c:v>0.17</c:v>
                </c:pt>
                <c:pt idx="3">
                  <c:v>0.19</c:v>
                </c:pt>
                <c:pt idx="4">
                  <c:v>0.21</c:v>
                </c:pt>
                <c:pt idx="5">
                  <c:v>0.22</c:v>
                </c:pt>
                <c:pt idx="6">
                  <c:v>0.23</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6793536"/>
        <c:axId val="396793928"/>
      </c:barChart>
      <c:catAx>
        <c:axId val="3967935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793928"/>
        <c:crosses val="autoZero"/>
        <c:auto val="1"/>
        <c:lblAlgn val="ctr"/>
        <c:lblOffset val="100"/>
        <c:noMultiLvlLbl val="0"/>
      </c:catAx>
      <c:valAx>
        <c:axId val="39679392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79353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1643966506721085"/>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20"/>
              <c:layout>
                <c:manualLayout>
                  <c:x val="-4.1166013385883216E-3"/>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6ED-42B4-AEE4-7528FAB4EBB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541</c:v>
                </c:pt>
                <c:pt idx="1">
                  <c:v>557</c:v>
                </c:pt>
                <c:pt idx="2">
                  <c:v>620</c:v>
                </c:pt>
                <c:pt idx="3">
                  <c:v>646</c:v>
                </c:pt>
                <c:pt idx="4">
                  <c:v>579</c:v>
                </c:pt>
                <c:pt idx="5">
                  <c:v>795</c:v>
                </c:pt>
                <c:pt idx="6">
                  <c:v>799</c:v>
                </c:pt>
                <c:pt idx="7">
                  <c:v>768</c:v>
                </c:pt>
                <c:pt idx="8">
                  <c:v>727</c:v>
                </c:pt>
                <c:pt idx="9">
                  <c:v>900</c:v>
                </c:pt>
                <c:pt idx="10">
                  <c:v>1049</c:v>
                </c:pt>
                <c:pt idx="11">
                  <c:v>1205</c:v>
                </c:pt>
                <c:pt idx="12">
                  <c:v>968</c:v>
                </c:pt>
                <c:pt idx="13">
                  <c:v>969</c:v>
                </c:pt>
                <c:pt idx="14">
                  <c:v>930</c:v>
                </c:pt>
                <c:pt idx="15">
                  <c:v>962</c:v>
                </c:pt>
                <c:pt idx="16">
                  <c:v>879</c:v>
                </c:pt>
                <c:pt idx="17">
                  <c:v>390</c:v>
                </c:pt>
                <c:pt idx="18">
                  <c:v>208</c:v>
                </c:pt>
                <c:pt idx="19">
                  <c:v>61</c:v>
                </c:pt>
                <c:pt idx="20">
                  <c:v>4</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95913320"/>
        <c:axId val="395913712"/>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516</c:v>
                </c:pt>
                <c:pt idx="1">
                  <c:v>554</c:v>
                </c:pt>
                <c:pt idx="2">
                  <c:v>614</c:v>
                </c:pt>
                <c:pt idx="3">
                  <c:v>591</c:v>
                </c:pt>
                <c:pt idx="4">
                  <c:v>495</c:v>
                </c:pt>
                <c:pt idx="5">
                  <c:v>575</c:v>
                </c:pt>
                <c:pt idx="6">
                  <c:v>602</c:v>
                </c:pt>
                <c:pt idx="7">
                  <c:v>563</c:v>
                </c:pt>
                <c:pt idx="8">
                  <c:v>743</c:v>
                </c:pt>
                <c:pt idx="9">
                  <c:v>851</c:v>
                </c:pt>
                <c:pt idx="10">
                  <c:v>1072</c:v>
                </c:pt>
                <c:pt idx="11">
                  <c:v>1156</c:v>
                </c:pt>
                <c:pt idx="12">
                  <c:v>1033</c:v>
                </c:pt>
                <c:pt idx="13">
                  <c:v>1115</c:v>
                </c:pt>
                <c:pt idx="14">
                  <c:v>1109</c:v>
                </c:pt>
                <c:pt idx="15">
                  <c:v>1241</c:v>
                </c:pt>
                <c:pt idx="16">
                  <c:v>1188</c:v>
                </c:pt>
                <c:pt idx="17">
                  <c:v>762</c:v>
                </c:pt>
                <c:pt idx="18">
                  <c:v>493</c:v>
                </c:pt>
                <c:pt idx="19">
                  <c:v>220</c:v>
                </c:pt>
                <c:pt idx="20">
                  <c:v>50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397289864"/>
        <c:axId val="395915280"/>
      </c:barChart>
      <c:catAx>
        <c:axId val="39591332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913712"/>
        <c:crosses val="autoZero"/>
        <c:auto val="1"/>
        <c:lblAlgn val="ctr"/>
        <c:lblOffset val="100"/>
        <c:noMultiLvlLbl val="0"/>
      </c:catAx>
      <c:valAx>
        <c:axId val="395913712"/>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913320"/>
        <c:crosses val="autoZero"/>
        <c:crossBetween val="between"/>
        <c:majorUnit val="1000"/>
      </c:valAx>
      <c:valAx>
        <c:axId val="395915280"/>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89864"/>
        <c:crosses val="max"/>
        <c:crossBetween val="between"/>
        <c:majorUnit val="1000"/>
      </c:valAx>
      <c:catAx>
        <c:axId val="397289864"/>
        <c:scaling>
          <c:orientation val="minMax"/>
        </c:scaling>
        <c:delete val="1"/>
        <c:axPos val="l"/>
        <c:numFmt formatCode="General" sourceLinked="1"/>
        <c:majorTickMark val="out"/>
        <c:minorTickMark val="none"/>
        <c:tickLblPos val="nextTo"/>
        <c:crossAx val="39591528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20"/>
              <c:layout>
                <c:manualLayout>
                  <c:x val="-9.5380218864670584E-3"/>
                  <c:y val="-1.6655773270602117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C55-4D2B-A588-5AAACDFF63E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453</c:v>
                </c:pt>
                <c:pt idx="1">
                  <c:v>455</c:v>
                </c:pt>
                <c:pt idx="2">
                  <c:v>464</c:v>
                </c:pt>
                <c:pt idx="3">
                  <c:v>439</c:v>
                </c:pt>
                <c:pt idx="4">
                  <c:v>420</c:v>
                </c:pt>
                <c:pt idx="5">
                  <c:v>670</c:v>
                </c:pt>
                <c:pt idx="6">
                  <c:v>688</c:v>
                </c:pt>
                <c:pt idx="7">
                  <c:v>681</c:v>
                </c:pt>
                <c:pt idx="8">
                  <c:v>698</c:v>
                </c:pt>
                <c:pt idx="9">
                  <c:v>732</c:v>
                </c:pt>
                <c:pt idx="10">
                  <c:v>701</c:v>
                </c:pt>
                <c:pt idx="11">
                  <c:v>875</c:v>
                </c:pt>
                <c:pt idx="12">
                  <c:v>997</c:v>
                </c:pt>
                <c:pt idx="13">
                  <c:v>1076</c:v>
                </c:pt>
                <c:pt idx="14">
                  <c:v>823</c:v>
                </c:pt>
                <c:pt idx="15">
                  <c:v>758</c:v>
                </c:pt>
                <c:pt idx="16">
                  <c:v>639</c:v>
                </c:pt>
                <c:pt idx="17">
                  <c:v>479</c:v>
                </c:pt>
                <c:pt idx="18">
                  <c:v>270</c:v>
                </c:pt>
                <c:pt idx="19">
                  <c:v>52</c:v>
                </c:pt>
                <c:pt idx="20">
                  <c:v>5</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5140704"/>
        <c:axId val="455146584"/>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432</c:v>
                </c:pt>
                <c:pt idx="1">
                  <c:v>452</c:v>
                </c:pt>
                <c:pt idx="2">
                  <c:v>460</c:v>
                </c:pt>
                <c:pt idx="3">
                  <c:v>455</c:v>
                </c:pt>
                <c:pt idx="4">
                  <c:v>381</c:v>
                </c:pt>
                <c:pt idx="5">
                  <c:v>471</c:v>
                </c:pt>
                <c:pt idx="6">
                  <c:v>518</c:v>
                </c:pt>
                <c:pt idx="7">
                  <c:v>502</c:v>
                </c:pt>
                <c:pt idx="8">
                  <c:v>536</c:v>
                </c:pt>
                <c:pt idx="9">
                  <c:v>516</c:v>
                </c:pt>
                <c:pt idx="10">
                  <c:v>703</c:v>
                </c:pt>
                <c:pt idx="11">
                  <c:v>831</c:v>
                </c:pt>
                <c:pt idx="12">
                  <c:v>1027</c:v>
                </c:pt>
                <c:pt idx="13">
                  <c:v>1064</c:v>
                </c:pt>
                <c:pt idx="14">
                  <c:v>935</c:v>
                </c:pt>
                <c:pt idx="15">
                  <c:v>996</c:v>
                </c:pt>
                <c:pt idx="16">
                  <c:v>916</c:v>
                </c:pt>
                <c:pt idx="17">
                  <c:v>852</c:v>
                </c:pt>
                <c:pt idx="18">
                  <c:v>581</c:v>
                </c:pt>
                <c:pt idx="19">
                  <c:v>190</c:v>
                </c:pt>
                <c:pt idx="20">
                  <c:v>47</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5141096"/>
        <c:axId val="455142272"/>
      </c:barChart>
      <c:catAx>
        <c:axId val="45514070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146584"/>
        <c:crosses val="autoZero"/>
        <c:auto val="1"/>
        <c:lblAlgn val="ctr"/>
        <c:lblOffset val="100"/>
        <c:noMultiLvlLbl val="0"/>
      </c:catAx>
      <c:valAx>
        <c:axId val="455146584"/>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140704"/>
        <c:crosses val="autoZero"/>
        <c:crossBetween val="between"/>
        <c:majorUnit val="1000"/>
      </c:valAx>
      <c:valAx>
        <c:axId val="455142272"/>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141096"/>
        <c:crosses val="max"/>
        <c:crossBetween val="between"/>
        <c:majorUnit val="1000"/>
      </c:valAx>
      <c:catAx>
        <c:axId val="455141096"/>
        <c:scaling>
          <c:orientation val="minMax"/>
        </c:scaling>
        <c:delete val="1"/>
        <c:axPos val="l"/>
        <c:numFmt formatCode="General" sourceLinked="1"/>
        <c:majorTickMark val="out"/>
        <c:minorTickMark val="none"/>
        <c:tickLblPos val="nextTo"/>
        <c:crossAx val="45514227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38830</c:v>
                </c:pt>
                <c:pt idx="1">
                  <c:v>37090</c:v>
                </c:pt>
                <c:pt idx="2">
                  <c:v>34988</c:v>
                </c:pt>
                <c:pt idx="3">
                  <c:v>32581</c:v>
                </c:pt>
                <c:pt idx="4">
                  <c:v>30100</c:v>
                </c:pt>
                <c:pt idx="5">
                  <c:v>27657</c:v>
                </c:pt>
                <c:pt idx="6">
                  <c:v>25240</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86EB-4025-802F-5DDBE9EBA2C5}"/>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86EB-4025-802F-5DDBE9EBA2C5}"/>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86EB-4025-802F-5DDBE9EBA2C5}"/>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86EB-4025-802F-5DDBE9EBA2C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32590</c:v>
                </c:pt>
                <c:pt idx="4" formatCode="#,##0_);[Red]\(#,##0\)">
                  <c:v>30120</c:v>
                </c:pt>
                <c:pt idx="5" formatCode="#,##0_);[Red]\(#,##0\)">
                  <c:v>27681</c:v>
                </c:pt>
                <c:pt idx="6" formatCode="#,##0_);[Red]\(#,##0\)">
                  <c:v>25279</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5140312"/>
        <c:axId val="455144232"/>
      </c:barChart>
      <c:catAx>
        <c:axId val="4551403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144232"/>
        <c:crosses val="autoZero"/>
        <c:auto val="1"/>
        <c:lblAlgn val="ctr"/>
        <c:lblOffset val="100"/>
        <c:noMultiLvlLbl val="0"/>
      </c:catAx>
      <c:valAx>
        <c:axId val="45514423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140312"/>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2297</c:v>
                </c:pt>
                <c:pt idx="1">
                  <c:v>2130</c:v>
                </c:pt>
                <c:pt idx="2">
                  <c:v>1917</c:v>
                </c:pt>
                <c:pt idx="3">
                  <c:v>1658</c:v>
                </c:pt>
                <c:pt idx="4">
                  <c:v>1407</c:v>
                </c:pt>
                <c:pt idx="5">
                  <c:v>1217</c:v>
                </c:pt>
                <c:pt idx="6">
                  <c:v>1099</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1659</c:v>
                </c:pt>
                <c:pt idx="4">
                  <c:v>1410</c:v>
                </c:pt>
                <c:pt idx="5">
                  <c:v>1221</c:v>
                </c:pt>
                <c:pt idx="6">
                  <c:v>1105</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5143056"/>
        <c:axId val="455144624"/>
      </c:barChart>
      <c:catAx>
        <c:axId val="4551430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144624"/>
        <c:crosses val="autoZero"/>
        <c:auto val="1"/>
        <c:lblAlgn val="ctr"/>
        <c:lblOffset val="100"/>
        <c:noMultiLvlLbl val="0"/>
      </c:catAx>
      <c:valAx>
        <c:axId val="4551446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143056"/>
        <c:crosses val="autoZero"/>
        <c:crossBetween val="between"/>
      </c:valAx>
      <c:spPr>
        <a:noFill/>
        <a:ln>
          <a:noFill/>
        </a:ln>
        <a:effectLst/>
      </c:spPr>
    </c:plotArea>
    <c:legend>
      <c:legendPos val="t"/>
      <c:layout>
        <c:manualLayout>
          <c:xMode val="edge"/>
          <c:yMode val="edge"/>
          <c:x val="5.9563960253876586E-2"/>
          <c:y val="0.10997590418771865"/>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0.25</c:v>
                </c:pt>
                <c:pt idx="1">
                  <c:v>0.28999999999999998</c:v>
                </c:pt>
                <c:pt idx="2">
                  <c:v>0.32</c:v>
                </c:pt>
                <c:pt idx="3">
                  <c:v>0.34</c:v>
                </c:pt>
                <c:pt idx="4">
                  <c:v>0.35</c:v>
                </c:pt>
                <c:pt idx="5">
                  <c:v>0.36</c:v>
                </c:pt>
                <c:pt idx="6">
                  <c:v>0.38</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9E13-4173-9E7E-18B1C02C7F9C}"/>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9E13-4173-9E7E-18B1C02C7F9C}"/>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9E13-4173-9E7E-18B1C02C7F9C}"/>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9E13-4173-9E7E-18B1C02C7F9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0.34</c:v>
                </c:pt>
                <c:pt idx="4" formatCode="0%">
                  <c:v>0.35</c:v>
                </c:pt>
                <c:pt idx="5" formatCode="0%">
                  <c:v>0.36</c:v>
                </c:pt>
                <c:pt idx="6" formatCode="0%">
                  <c:v>0.38</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55139528"/>
        <c:axId val="455145800"/>
      </c:barChart>
      <c:catAx>
        <c:axId val="4551395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145800"/>
        <c:crosses val="autoZero"/>
        <c:auto val="1"/>
        <c:lblAlgn val="ctr"/>
        <c:lblOffset val="100"/>
        <c:noMultiLvlLbl val="0"/>
      </c:catAx>
      <c:valAx>
        <c:axId val="4551458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13952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0.14000000000000001</c:v>
                </c:pt>
                <c:pt idx="1">
                  <c:v>0.15</c:v>
                </c:pt>
                <c:pt idx="2">
                  <c:v>0.17</c:v>
                </c:pt>
                <c:pt idx="3">
                  <c:v>0.19</c:v>
                </c:pt>
                <c:pt idx="4">
                  <c:v>0.21</c:v>
                </c:pt>
                <c:pt idx="5">
                  <c:v>0.22</c:v>
                </c:pt>
                <c:pt idx="6">
                  <c:v>0.23</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12BE-4E88-A31C-7AEFEDE6DE90}"/>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12BE-4E88-A31C-7AEFEDE6DE90}"/>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12BE-4E88-A31C-7AEFEDE6DE90}"/>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12BE-4E88-A31C-7AEFEDE6DE9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0.19</c:v>
                </c:pt>
                <c:pt idx="4" formatCode="0%">
                  <c:v>0.21</c:v>
                </c:pt>
                <c:pt idx="5" formatCode="0%">
                  <c:v>0.22</c:v>
                </c:pt>
                <c:pt idx="6" formatCode="0%">
                  <c:v>0.23</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55145016"/>
        <c:axId val="455145408"/>
      </c:barChart>
      <c:catAx>
        <c:axId val="4551450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145408"/>
        <c:crosses val="autoZero"/>
        <c:auto val="1"/>
        <c:lblAlgn val="ctr"/>
        <c:lblOffset val="100"/>
        <c:noMultiLvlLbl val="0"/>
      </c:catAx>
      <c:valAx>
        <c:axId val="45514540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14501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1111</c:v>
                </c:pt>
                <c:pt idx="1">
                  <c:v>1054</c:v>
                </c:pt>
                <c:pt idx="2">
                  <c:v>959</c:v>
                </c:pt>
                <c:pt idx="3">
                  <c:v>864</c:v>
                </c:pt>
                <c:pt idx="4">
                  <c:v>741</c:v>
                </c:pt>
                <c:pt idx="5">
                  <c:v>630</c:v>
                </c:pt>
                <c:pt idx="6">
                  <c:v>548</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865</c:v>
                </c:pt>
                <c:pt idx="4">
                  <c:v>742</c:v>
                </c:pt>
                <c:pt idx="5">
                  <c:v>632</c:v>
                </c:pt>
                <c:pt idx="6">
                  <c:v>551</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55146192"/>
        <c:axId val="455139920"/>
      </c:barChart>
      <c:catAx>
        <c:axId val="4551461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139920"/>
        <c:crosses val="autoZero"/>
        <c:auto val="1"/>
        <c:lblAlgn val="ctr"/>
        <c:lblOffset val="100"/>
        <c:noMultiLvlLbl val="0"/>
      </c:catAx>
      <c:valAx>
        <c:axId val="4551399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5146192"/>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1111</c:v>
                </c:pt>
                <c:pt idx="1">
                  <c:v>1054</c:v>
                </c:pt>
                <c:pt idx="2">
                  <c:v>959</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5910968"/>
        <c:axId val="395918024"/>
      </c:barChart>
      <c:catAx>
        <c:axId val="3959109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918024"/>
        <c:crosses val="autoZero"/>
        <c:auto val="1"/>
        <c:lblAlgn val="ctr"/>
        <c:lblOffset val="100"/>
        <c:noMultiLvlLbl val="0"/>
      </c:catAx>
      <c:valAx>
        <c:axId val="3959180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9109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20"/>
              <c:layout>
                <c:manualLayout>
                  <c:x val="-4.1382843739335399E-4"/>
                  <c:y val="-1.2709136789074717E-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175-469D-817F-ECF3B4C1484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543</c:v>
                </c:pt>
                <c:pt idx="1">
                  <c:v>558</c:v>
                </c:pt>
                <c:pt idx="2">
                  <c:v>621</c:v>
                </c:pt>
                <c:pt idx="3">
                  <c:v>647</c:v>
                </c:pt>
                <c:pt idx="4">
                  <c:v>579</c:v>
                </c:pt>
                <c:pt idx="5">
                  <c:v>797</c:v>
                </c:pt>
                <c:pt idx="6">
                  <c:v>801</c:v>
                </c:pt>
                <c:pt idx="7">
                  <c:v>768</c:v>
                </c:pt>
                <c:pt idx="8">
                  <c:v>727</c:v>
                </c:pt>
                <c:pt idx="9">
                  <c:v>900</c:v>
                </c:pt>
                <c:pt idx="10">
                  <c:v>1049</c:v>
                </c:pt>
                <c:pt idx="11">
                  <c:v>1205</c:v>
                </c:pt>
                <c:pt idx="12">
                  <c:v>968</c:v>
                </c:pt>
                <c:pt idx="13">
                  <c:v>969</c:v>
                </c:pt>
                <c:pt idx="14">
                  <c:v>930</c:v>
                </c:pt>
                <c:pt idx="15">
                  <c:v>962</c:v>
                </c:pt>
                <c:pt idx="16">
                  <c:v>879</c:v>
                </c:pt>
                <c:pt idx="17">
                  <c:v>390</c:v>
                </c:pt>
                <c:pt idx="18">
                  <c:v>208</c:v>
                </c:pt>
                <c:pt idx="19">
                  <c:v>61</c:v>
                </c:pt>
                <c:pt idx="20">
                  <c:v>4</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397794648"/>
        <c:axId val="397795824"/>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518</c:v>
                </c:pt>
                <c:pt idx="1">
                  <c:v>555</c:v>
                </c:pt>
                <c:pt idx="2">
                  <c:v>615</c:v>
                </c:pt>
                <c:pt idx="3">
                  <c:v>592</c:v>
                </c:pt>
                <c:pt idx="4">
                  <c:v>495</c:v>
                </c:pt>
                <c:pt idx="5">
                  <c:v>577</c:v>
                </c:pt>
                <c:pt idx="6">
                  <c:v>604</c:v>
                </c:pt>
                <c:pt idx="7">
                  <c:v>563</c:v>
                </c:pt>
                <c:pt idx="8">
                  <c:v>744</c:v>
                </c:pt>
                <c:pt idx="9">
                  <c:v>852</c:v>
                </c:pt>
                <c:pt idx="10">
                  <c:v>1072</c:v>
                </c:pt>
                <c:pt idx="11">
                  <c:v>1156</c:v>
                </c:pt>
                <c:pt idx="12">
                  <c:v>1033</c:v>
                </c:pt>
                <c:pt idx="13">
                  <c:v>1115</c:v>
                </c:pt>
                <c:pt idx="14">
                  <c:v>1109</c:v>
                </c:pt>
                <c:pt idx="15">
                  <c:v>1241</c:v>
                </c:pt>
                <c:pt idx="16">
                  <c:v>1188</c:v>
                </c:pt>
                <c:pt idx="17">
                  <c:v>762</c:v>
                </c:pt>
                <c:pt idx="18">
                  <c:v>493</c:v>
                </c:pt>
                <c:pt idx="19">
                  <c:v>220</c:v>
                </c:pt>
                <c:pt idx="20">
                  <c:v>50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397795432"/>
        <c:axId val="397795040"/>
      </c:barChart>
      <c:catAx>
        <c:axId val="39779464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95824"/>
        <c:crosses val="autoZero"/>
        <c:auto val="1"/>
        <c:lblAlgn val="ctr"/>
        <c:lblOffset val="100"/>
        <c:noMultiLvlLbl val="0"/>
      </c:catAx>
      <c:valAx>
        <c:axId val="397795824"/>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94648"/>
        <c:crosses val="autoZero"/>
        <c:crossBetween val="between"/>
        <c:majorUnit val="1000"/>
      </c:valAx>
      <c:valAx>
        <c:axId val="397795040"/>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95432"/>
        <c:crosses val="max"/>
        <c:crossBetween val="between"/>
        <c:majorUnit val="1000"/>
      </c:valAx>
      <c:catAx>
        <c:axId val="397795432"/>
        <c:scaling>
          <c:orientation val="minMax"/>
        </c:scaling>
        <c:delete val="1"/>
        <c:axPos val="l"/>
        <c:numFmt formatCode="General" sourceLinked="1"/>
        <c:majorTickMark val="out"/>
        <c:minorTickMark val="none"/>
        <c:tickLblPos val="nextTo"/>
        <c:crossAx val="39779504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20"/>
              <c:layout>
                <c:manualLayout>
                  <c:x val="-2.6559876331679255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95E-4737-8A3C-B0E1B706B31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455</c:v>
                </c:pt>
                <c:pt idx="1">
                  <c:v>457</c:v>
                </c:pt>
                <c:pt idx="2">
                  <c:v>467</c:v>
                </c:pt>
                <c:pt idx="3">
                  <c:v>440</c:v>
                </c:pt>
                <c:pt idx="4">
                  <c:v>421</c:v>
                </c:pt>
                <c:pt idx="5">
                  <c:v>673</c:v>
                </c:pt>
                <c:pt idx="6">
                  <c:v>690</c:v>
                </c:pt>
                <c:pt idx="7">
                  <c:v>683</c:v>
                </c:pt>
                <c:pt idx="8">
                  <c:v>700</c:v>
                </c:pt>
                <c:pt idx="9">
                  <c:v>732</c:v>
                </c:pt>
                <c:pt idx="10">
                  <c:v>701</c:v>
                </c:pt>
                <c:pt idx="11">
                  <c:v>875</c:v>
                </c:pt>
                <c:pt idx="12">
                  <c:v>997</c:v>
                </c:pt>
                <c:pt idx="13">
                  <c:v>1076</c:v>
                </c:pt>
                <c:pt idx="14">
                  <c:v>823</c:v>
                </c:pt>
                <c:pt idx="15">
                  <c:v>758</c:v>
                </c:pt>
                <c:pt idx="16">
                  <c:v>639</c:v>
                </c:pt>
                <c:pt idx="17">
                  <c:v>479</c:v>
                </c:pt>
                <c:pt idx="18">
                  <c:v>270</c:v>
                </c:pt>
                <c:pt idx="19">
                  <c:v>52</c:v>
                </c:pt>
                <c:pt idx="20">
                  <c:v>5</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97797392"/>
        <c:axId val="397797784"/>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435</c:v>
                </c:pt>
                <c:pt idx="1">
                  <c:v>454</c:v>
                </c:pt>
                <c:pt idx="2">
                  <c:v>463</c:v>
                </c:pt>
                <c:pt idx="3">
                  <c:v>456</c:v>
                </c:pt>
                <c:pt idx="4">
                  <c:v>382</c:v>
                </c:pt>
                <c:pt idx="5">
                  <c:v>473</c:v>
                </c:pt>
                <c:pt idx="6">
                  <c:v>520</c:v>
                </c:pt>
                <c:pt idx="7">
                  <c:v>503</c:v>
                </c:pt>
                <c:pt idx="8">
                  <c:v>539</c:v>
                </c:pt>
                <c:pt idx="9">
                  <c:v>517</c:v>
                </c:pt>
                <c:pt idx="10">
                  <c:v>704</c:v>
                </c:pt>
                <c:pt idx="11">
                  <c:v>832</c:v>
                </c:pt>
                <c:pt idx="12">
                  <c:v>1027</c:v>
                </c:pt>
                <c:pt idx="13">
                  <c:v>1064</c:v>
                </c:pt>
                <c:pt idx="14">
                  <c:v>935</c:v>
                </c:pt>
                <c:pt idx="15">
                  <c:v>996</c:v>
                </c:pt>
                <c:pt idx="16">
                  <c:v>916</c:v>
                </c:pt>
                <c:pt idx="17">
                  <c:v>852</c:v>
                </c:pt>
                <c:pt idx="18">
                  <c:v>581</c:v>
                </c:pt>
                <c:pt idx="19">
                  <c:v>190</c:v>
                </c:pt>
                <c:pt idx="20">
                  <c:v>47</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97792688"/>
        <c:axId val="397796216"/>
      </c:barChart>
      <c:catAx>
        <c:axId val="39779739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97784"/>
        <c:crosses val="autoZero"/>
        <c:auto val="1"/>
        <c:lblAlgn val="ctr"/>
        <c:lblOffset val="100"/>
        <c:noMultiLvlLbl val="0"/>
      </c:catAx>
      <c:valAx>
        <c:axId val="397797784"/>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97392"/>
        <c:crosses val="autoZero"/>
        <c:crossBetween val="between"/>
        <c:majorUnit val="1000"/>
      </c:valAx>
      <c:valAx>
        <c:axId val="397796216"/>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92688"/>
        <c:crosses val="max"/>
        <c:crossBetween val="between"/>
        <c:majorUnit val="1000"/>
      </c:valAx>
      <c:catAx>
        <c:axId val="397792688"/>
        <c:scaling>
          <c:orientation val="minMax"/>
        </c:scaling>
        <c:delete val="1"/>
        <c:axPos val="l"/>
        <c:numFmt formatCode="General" sourceLinked="1"/>
        <c:majorTickMark val="out"/>
        <c:minorTickMark val="none"/>
        <c:tickLblPos val="nextTo"/>
        <c:crossAx val="39779621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1057</c:v>
                </c:pt>
                <c:pt idx="1">
                  <c:v>1111</c:v>
                </c:pt>
                <c:pt idx="2">
                  <c:v>1234</c:v>
                </c:pt>
                <c:pt idx="3">
                  <c:v>1237</c:v>
                </c:pt>
                <c:pt idx="4">
                  <c:v>1074</c:v>
                </c:pt>
                <c:pt idx="5">
                  <c:v>1370</c:v>
                </c:pt>
                <c:pt idx="6">
                  <c:v>1401</c:v>
                </c:pt>
                <c:pt idx="7">
                  <c:v>1331</c:v>
                </c:pt>
                <c:pt idx="8">
                  <c:v>1470</c:v>
                </c:pt>
                <c:pt idx="9">
                  <c:v>1751</c:v>
                </c:pt>
                <c:pt idx="10">
                  <c:v>2121</c:v>
                </c:pt>
                <c:pt idx="11">
                  <c:v>2361</c:v>
                </c:pt>
                <c:pt idx="12">
                  <c:v>2001</c:v>
                </c:pt>
                <c:pt idx="13">
                  <c:v>2084</c:v>
                </c:pt>
                <c:pt idx="14">
                  <c:v>2039</c:v>
                </c:pt>
                <c:pt idx="15">
                  <c:v>2203</c:v>
                </c:pt>
                <c:pt idx="16">
                  <c:v>2067</c:v>
                </c:pt>
                <c:pt idx="17">
                  <c:v>1152</c:v>
                </c:pt>
                <c:pt idx="18">
                  <c:v>701</c:v>
                </c:pt>
                <c:pt idx="19">
                  <c:v>281</c:v>
                </c:pt>
                <c:pt idx="20">
                  <c:v>54</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97798176"/>
        <c:axId val="397790728"/>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1061</c:v>
                </c:pt>
                <c:pt idx="1">
                  <c:v>1113</c:v>
                </c:pt>
                <c:pt idx="2">
                  <c:v>1236</c:v>
                </c:pt>
                <c:pt idx="3">
                  <c:v>1239</c:v>
                </c:pt>
                <c:pt idx="4">
                  <c:v>1074</c:v>
                </c:pt>
                <c:pt idx="5">
                  <c:v>1374</c:v>
                </c:pt>
                <c:pt idx="6">
                  <c:v>1405</c:v>
                </c:pt>
                <c:pt idx="7">
                  <c:v>1331</c:v>
                </c:pt>
                <c:pt idx="8">
                  <c:v>1471</c:v>
                </c:pt>
                <c:pt idx="9">
                  <c:v>1752</c:v>
                </c:pt>
                <c:pt idx="10">
                  <c:v>2121</c:v>
                </c:pt>
                <c:pt idx="11">
                  <c:v>2361</c:v>
                </c:pt>
                <c:pt idx="12">
                  <c:v>2001</c:v>
                </c:pt>
                <c:pt idx="13">
                  <c:v>2084</c:v>
                </c:pt>
                <c:pt idx="14">
                  <c:v>2039</c:v>
                </c:pt>
                <c:pt idx="15">
                  <c:v>2203</c:v>
                </c:pt>
                <c:pt idx="16">
                  <c:v>2067</c:v>
                </c:pt>
                <c:pt idx="17">
                  <c:v>1152</c:v>
                </c:pt>
                <c:pt idx="18">
                  <c:v>701</c:v>
                </c:pt>
                <c:pt idx="19">
                  <c:v>281</c:v>
                </c:pt>
                <c:pt idx="20">
                  <c:v>54</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97791120"/>
        <c:axId val="397793080"/>
      </c:barChart>
      <c:catAx>
        <c:axId val="39779817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90728"/>
        <c:crosses val="autoZero"/>
        <c:auto val="1"/>
        <c:lblAlgn val="ctr"/>
        <c:lblOffset val="100"/>
        <c:noMultiLvlLbl val="0"/>
      </c:catAx>
      <c:valAx>
        <c:axId val="397790728"/>
        <c:scaling>
          <c:orientation val="maxMin"/>
          <c:max val="4000"/>
          <c:min val="-6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98176"/>
        <c:crosses val="autoZero"/>
        <c:crossBetween val="between"/>
        <c:majorUnit val="2000"/>
      </c:valAx>
      <c:valAx>
        <c:axId val="397793080"/>
        <c:scaling>
          <c:orientation val="minMax"/>
          <c:max val="4000"/>
          <c:min val="-6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91120"/>
        <c:crosses val="max"/>
        <c:crossBetween val="between"/>
        <c:majorUnit val="2000"/>
      </c:valAx>
      <c:catAx>
        <c:axId val="397791120"/>
        <c:scaling>
          <c:orientation val="minMax"/>
        </c:scaling>
        <c:delete val="1"/>
        <c:axPos val="l"/>
        <c:numFmt formatCode="General" sourceLinked="1"/>
        <c:majorTickMark val="out"/>
        <c:minorTickMark val="none"/>
        <c:tickLblPos val="nextTo"/>
        <c:crossAx val="397793080"/>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885</c:v>
                </c:pt>
                <c:pt idx="1">
                  <c:v>907</c:v>
                </c:pt>
                <c:pt idx="2">
                  <c:v>924</c:v>
                </c:pt>
                <c:pt idx="3">
                  <c:v>894</c:v>
                </c:pt>
                <c:pt idx="4">
                  <c:v>801</c:v>
                </c:pt>
                <c:pt idx="5">
                  <c:v>1141</c:v>
                </c:pt>
                <c:pt idx="6">
                  <c:v>1206</c:v>
                </c:pt>
                <c:pt idx="7">
                  <c:v>1183</c:v>
                </c:pt>
                <c:pt idx="8">
                  <c:v>1234</c:v>
                </c:pt>
                <c:pt idx="9">
                  <c:v>1248</c:v>
                </c:pt>
                <c:pt idx="10">
                  <c:v>1404</c:v>
                </c:pt>
                <c:pt idx="11">
                  <c:v>1706</c:v>
                </c:pt>
                <c:pt idx="12">
                  <c:v>2024</c:v>
                </c:pt>
                <c:pt idx="13">
                  <c:v>2140</c:v>
                </c:pt>
                <c:pt idx="14">
                  <c:v>1758</c:v>
                </c:pt>
                <c:pt idx="15">
                  <c:v>1754</c:v>
                </c:pt>
                <c:pt idx="16">
                  <c:v>1555</c:v>
                </c:pt>
                <c:pt idx="17">
                  <c:v>1331</c:v>
                </c:pt>
                <c:pt idx="18">
                  <c:v>851</c:v>
                </c:pt>
                <c:pt idx="19">
                  <c:v>242</c:v>
                </c:pt>
                <c:pt idx="20">
                  <c:v>52</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97791512"/>
        <c:axId val="397791904"/>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890</c:v>
                </c:pt>
                <c:pt idx="1">
                  <c:v>911</c:v>
                </c:pt>
                <c:pt idx="2">
                  <c:v>930</c:v>
                </c:pt>
                <c:pt idx="3">
                  <c:v>896</c:v>
                </c:pt>
                <c:pt idx="4">
                  <c:v>803</c:v>
                </c:pt>
                <c:pt idx="5">
                  <c:v>1146</c:v>
                </c:pt>
                <c:pt idx="6">
                  <c:v>1210</c:v>
                </c:pt>
                <c:pt idx="7">
                  <c:v>1186</c:v>
                </c:pt>
                <c:pt idx="8">
                  <c:v>1239</c:v>
                </c:pt>
                <c:pt idx="9">
                  <c:v>1249</c:v>
                </c:pt>
                <c:pt idx="10">
                  <c:v>1405</c:v>
                </c:pt>
                <c:pt idx="11">
                  <c:v>1707</c:v>
                </c:pt>
                <c:pt idx="12">
                  <c:v>2024</c:v>
                </c:pt>
                <c:pt idx="13">
                  <c:v>2140</c:v>
                </c:pt>
                <c:pt idx="14">
                  <c:v>1758</c:v>
                </c:pt>
                <c:pt idx="15">
                  <c:v>1754</c:v>
                </c:pt>
                <c:pt idx="16">
                  <c:v>1555</c:v>
                </c:pt>
                <c:pt idx="17">
                  <c:v>1331</c:v>
                </c:pt>
                <c:pt idx="18">
                  <c:v>851</c:v>
                </c:pt>
                <c:pt idx="19">
                  <c:v>242</c:v>
                </c:pt>
                <c:pt idx="20">
                  <c:v>52</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97793864"/>
        <c:axId val="397792296"/>
      </c:barChart>
      <c:catAx>
        <c:axId val="3977915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91904"/>
        <c:crosses val="autoZero"/>
        <c:auto val="1"/>
        <c:lblAlgn val="ctr"/>
        <c:lblOffset val="100"/>
        <c:noMultiLvlLbl val="0"/>
      </c:catAx>
      <c:valAx>
        <c:axId val="397791904"/>
        <c:scaling>
          <c:orientation val="maxMin"/>
          <c:max val="4000"/>
          <c:min val="-6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91512"/>
        <c:crosses val="autoZero"/>
        <c:crossBetween val="between"/>
        <c:majorUnit val="2000"/>
      </c:valAx>
      <c:valAx>
        <c:axId val="397792296"/>
        <c:scaling>
          <c:orientation val="minMax"/>
          <c:max val="4000"/>
          <c:min val="-6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93864"/>
        <c:crosses val="max"/>
        <c:crossBetween val="between"/>
        <c:majorUnit val="2000"/>
      </c:valAx>
      <c:catAx>
        <c:axId val="397793864"/>
        <c:scaling>
          <c:orientation val="minMax"/>
        </c:scaling>
        <c:delete val="1"/>
        <c:axPos val="l"/>
        <c:numFmt formatCode="General" sourceLinked="1"/>
        <c:majorTickMark val="out"/>
        <c:minorTickMark val="none"/>
        <c:tickLblPos val="nextTo"/>
        <c:crossAx val="397792296"/>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延岡市平均</c:v>
                </c:pt>
                <c:pt idx="2">
                  <c:v>恒富地区</c:v>
                </c:pt>
              </c:strCache>
            </c:strRef>
          </c:cat>
          <c:val>
            <c:numRef>
              <c:f>管理者用地域特徴シート!$H$3:$H$5</c:f>
              <c:numCache>
                <c:formatCode>0.0%</c:formatCode>
                <c:ptCount val="3"/>
                <c:pt idx="0">
                  <c:v>0.46108733927332846</c:v>
                </c:pt>
                <c:pt idx="1">
                  <c:v>0.5004861543248289</c:v>
                </c:pt>
                <c:pt idx="2">
                  <c:v>0.4495082599472906</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6831040"/>
        <c:axId val="456837312"/>
      </c:barChart>
      <c:catAx>
        <c:axId val="45683104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837312"/>
        <c:crosses val="autoZero"/>
        <c:auto val="1"/>
        <c:lblAlgn val="ctr"/>
        <c:lblOffset val="100"/>
        <c:noMultiLvlLbl val="0"/>
      </c:catAx>
      <c:valAx>
        <c:axId val="45683731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83104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延岡市平均</c:v>
                </c:pt>
                <c:pt idx="2">
                  <c:v>恒富地区</c:v>
                </c:pt>
              </c:strCache>
            </c:strRef>
          </c:cat>
          <c:val>
            <c:numRef>
              <c:f>管理者用地域特徴シート!$J$3:$J$5</c:f>
              <c:numCache>
                <c:formatCode>0.0%</c:formatCode>
                <c:ptCount val="3"/>
                <c:pt idx="0">
                  <c:v>0.15075281438403673</c:v>
                </c:pt>
                <c:pt idx="1">
                  <c:v>0.16056705040448041</c:v>
                </c:pt>
                <c:pt idx="2">
                  <c:v>0.15260011570354182</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6831432"/>
        <c:axId val="456834568"/>
      </c:barChart>
      <c:catAx>
        <c:axId val="45683143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834568"/>
        <c:crosses val="autoZero"/>
        <c:auto val="1"/>
        <c:lblAlgn val="ctr"/>
        <c:lblOffset val="100"/>
        <c:noMultiLvlLbl val="0"/>
      </c:catAx>
      <c:valAx>
        <c:axId val="45683456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8314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延岡市平均</c:v>
                </c:pt>
                <c:pt idx="2">
                  <c:v>恒富地区</c:v>
                </c:pt>
              </c:strCache>
            </c:strRef>
          </c:cat>
          <c:val>
            <c:numRef>
              <c:f>管理者用地域特徴シート!$P$3:$P$5</c:f>
              <c:numCache>
                <c:formatCode>0.0%</c:formatCode>
                <c:ptCount val="3"/>
                <c:pt idx="0">
                  <c:v>0.34758352842621743</c:v>
                </c:pt>
                <c:pt idx="1">
                  <c:v>0.34667297329256552</c:v>
                </c:pt>
                <c:pt idx="2">
                  <c:v>0.3720704241454213</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6832608"/>
        <c:axId val="456835744"/>
      </c:barChart>
      <c:catAx>
        <c:axId val="45683260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835744"/>
        <c:crosses val="autoZero"/>
        <c:auto val="1"/>
        <c:lblAlgn val="ctr"/>
        <c:lblOffset val="100"/>
        <c:noMultiLvlLbl val="0"/>
      </c:catAx>
      <c:valAx>
        <c:axId val="45683574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83260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延岡市平均</c:v>
                </c:pt>
                <c:pt idx="2">
                  <c:v>恒富地区</c:v>
                </c:pt>
              </c:strCache>
            </c:strRef>
          </c:cat>
          <c:val>
            <c:numRef>
              <c:f>管理者用地域特徴シート!$AO$3:$AO$5</c:f>
              <c:numCache>
                <c:formatCode>0.0%</c:formatCode>
                <c:ptCount val="3"/>
                <c:pt idx="0">
                  <c:v>0.5259093009439566</c:v>
                </c:pt>
                <c:pt idx="1">
                  <c:v>0.51879002698674825</c:v>
                </c:pt>
                <c:pt idx="2">
                  <c:v>0.49980869787016963</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6831824"/>
        <c:axId val="456833000"/>
      </c:barChart>
      <c:catAx>
        <c:axId val="45683182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833000"/>
        <c:crosses val="autoZero"/>
        <c:auto val="1"/>
        <c:lblAlgn val="ctr"/>
        <c:lblOffset val="100"/>
        <c:noMultiLvlLbl val="0"/>
      </c:catAx>
      <c:valAx>
        <c:axId val="45683300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83182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恒富地区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1.4512443648490088E-2</c:v>
                </c:pt>
                <c:pt idx="1">
                  <c:v>2.5319582535663558E-3</c:v>
                </c:pt>
                <c:pt idx="2">
                  <c:v>2.4702031742110787E-4</c:v>
                </c:pt>
                <c:pt idx="3">
                  <c:v>0.10473661458654974</c:v>
                </c:pt>
                <c:pt idx="4">
                  <c:v>0.17600197616253938</c:v>
                </c:pt>
                <c:pt idx="5">
                  <c:v>3.8288149200271723E-3</c:v>
                </c:pt>
                <c:pt idx="6">
                  <c:v>1.3462607299450379E-2</c:v>
                </c:pt>
                <c:pt idx="7">
                  <c:v>3.5076885073797318E-2</c:v>
                </c:pt>
                <c:pt idx="8">
                  <c:v>0.1561168406101402</c:v>
                </c:pt>
                <c:pt idx="9">
                  <c:v>1.7970728092385597E-2</c:v>
                </c:pt>
                <c:pt idx="10">
                  <c:v>1.5253504600753412E-2</c:v>
                </c:pt>
                <c:pt idx="11">
                  <c:v>2.2046563329833877E-2</c:v>
                </c:pt>
                <c:pt idx="12">
                  <c:v>4.8724757611313528E-2</c:v>
                </c:pt>
                <c:pt idx="13">
                  <c:v>4.1190637929969742E-2</c:v>
                </c:pt>
                <c:pt idx="14">
                  <c:v>5.2862347928117087E-2</c:v>
                </c:pt>
                <c:pt idx="15">
                  <c:v>0.16828259124312975</c:v>
                </c:pt>
                <c:pt idx="16">
                  <c:v>8.7074661890940534E-3</c:v>
                </c:pt>
                <c:pt idx="17">
                  <c:v>6.039646760946088E-2</c:v>
                </c:pt>
                <c:pt idx="18">
                  <c:v>3.7238312851232011E-2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延岡市平均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3.5924508866161428E-2</c:v>
                </c:pt>
                <c:pt idx="1">
                  <c:v>1.4200573909204621E-2</c:v>
                </c:pt>
                <c:pt idx="2">
                  <c:v>2.2073430946950188E-4</c:v>
                </c:pt>
                <c:pt idx="3">
                  <c:v>0.11082701787947907</c:v>
                </c:pt>
                <c:pt idx="4">
                  <c:v>0.16698550511367816</c:v>
                </c:pt>
                <c:pt idx="5">
                  <c:v>4.0284011478184095E-3</c:v>
                </c:pt>
                <c:pt idx="6">
                  <c:v>1.0815981164005593E-2</c:v>
                </c:pt>
                <c:pt idx="7">
                  <c:v>3.5096755205650795E-2</c:v>
                </c:pt>
                <c:pt idx="8">
                  <c:v>0.14833345596350525</c:v>
                </c:pt>
                <c:pt idx="9">
                  <c:v>1.6407917003899639E-2</c:v>
                </c:pt>
                <c:pt idx="10">
                  <c:v>1.4476491796041498E-2</c:v>
                </c:pt>
                <c:pt idx="11">
                  <c:v>2.1889485689058935E-2</c:v>
                </c:pt>
                <c:pt idx="12">
                  <c:v>4.8782282392759918E-2</c:v>
                </c:pt>
                <c:pt idx="13">
                  <c:v>3.6292399381943931E-2</c:v>
                </c:pt>
                <c:pt idx="14">
                  <c:v>4.7292325803840775E-2</c:v>
                </c:pt>
                <c:pt idx="15">
                  <c:v>0.16464940033845926</c:v>
                </c:pt>
                <c:pt idx="16">
                  <c:v>1.0871164741372967E-2</c:v>
                </c:pt>
                <c:pt idx="17">
                  <c:v>5.9303951144139506E-2</c:v>
                </c:pt>
                <c:pt idx="18">
                  <c:v>3.5096755205650795E-2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6833392"/>
        <c:axId val="456837704"/>
      </c:barChart>
      <c:catAx>
        <c:axId val="4568333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837704"/>
        <c:crosses val="autoZero"/>
        <c:auto val="1"/>
        <c:lblAlgn val="ctr"/>
        <c:lblOffset val="100"/>
        <c:noMultiLvlLbl val="0"/>
      </c:catAx>
      <c:valAx>
        <c:axId val="456837704"/>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833392"/>
        <c:crosses val="autoZero"/>
        <c:crossBetween val="between"/>
      </c:valAx>
      <c:spPr>
        <a:noFill/>
        <a:ln>
          <a:noFill/>
        </a:ln>
        <a:effectLst/>
      </c:spPr>
    </c:plotArea>
    <c:legend>
      <c:legendPos val="b"/>
      <c:layout>
        <c:manualLayout>
          <c:xMode val="edge"/>
          <c:yMode val="edge"/>
          <c:x val="0.5589570810690917"/>
          <c:y val="8.262024513562614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延岡市平均</c:v>
                </c:pt>
                <c:pt idx="2">
                  <c:v>恒富地区</c:v>
                </c:pt>
              </c:strCache>
            </c:strRef>
          </c:cat>
          <c:val>
            <c:numRef>
              <c:f>管理者用地域特徴シート!$CK$3:$CK$5</c:f>
              <c:numCache>
                <c:formatCode>0.0%</c:formatCode>
                <c:ptCount val="3"/>
                <c:pt idx="0">
                  <c:v>0.82747216160708559</c:v>
                </c:pt>
                <c:pt idx="1">
                  <c:v>0.90607755132072698</c:v>
                </c:pt>
                <c:pt idx="2">
                  <c:v>0.90477366763416289</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6833784"/>
        <c:axId val="456834176"/>
      </c:barChart>
      <c:catAx>
        <c:axId val="45683378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834176"/>
        <c:crosses val="autoZero"/>
        <c:auto val="1"/>
        <c:lblAlgn val="ctr"/>
        <c:lblOffset val="100"/>
        <c:noMultiLvlLbl val="0"/>
      </c:catAx>
      <c:valAx>
        <c:axId val="45683417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83378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0.25</c:v>
                </c:pt>
                <c:pt idx="1">
                  <c:v>0.28999999999999998</c:v>
                </c:pt>
                <c:pt idx="2">
                  <c:v>0.32</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5910576"/>
        <c:axId val="395912144"/>
      </c:barChart>
      <c:catAx>
        <c:axId val="3959105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912144"/>
        <c:crosses val="autoZero"/>
        <c:auto val="1"/>
        <c:lblAlgn val="ctr"/>
        <c:lblOffset val="100"/>
        <c:noMultiLvlLbl val="0"/>
      </c:catAx>
      <c:valAx>
        <c:axId val="3959121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91057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0.14000000000000001</c:v>
                </c:pt>
                <c:pt idx="1">
                  <c:v>0.15</c:v>
                </c:pt>
                <c:pt idx="2">
                  <c:v>0.17</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5914496"/>
        <c:axId val="395914104"/>
      </c:barChart>
      <c:catAx>
        <c:axId val="3959144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914104"/>
        <c:crosses val="autoZero"/>
        <c:auto val="1"/>
        <c:lblAlgn val="ctr"/>
        <c:lblOffset val="100"/>
        <c:noMultiLvlLbl val="0"/>
      </c:catAx>
      <c:valAx>
        <c:axId val="3959141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591449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3.6993072631499528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82A-4754-95F9-3331F13A629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990</c:v>
                </c:pt>
                <c:pt idx="1">
                  <c:v>976</c:v>
                </c:pt>
                <c:pt idx="2">
                  <c:v>1003</c:v>
                </c:pt>
                <c:pt idx="3">
                  <c:v>862</c:v>
                </c:pt>
                <c:pt idx="4">
                  <c:v>703</c:v>
                </c:pt>
                <c:pt idx="5">
                  <c:v>1113</c:v>
                </c:pt>
                <c:pt idx="6">
                  <c:v>1206</c:v>
                </c:pt>
                <c:pt idx="7">
                  <c:v>1308</c:v>
                </c:pt>
                <c:pt idx="8">
                  <c:v>1039</c:v>
                </c:pt>
                <c:pt idx="9">
                  <c:v>1130</c:v>
                </c:pt>
                <c:pt idx="10">
                  <c:v>1156</c:v>
                </c:pt>
                <c:pt idx="11">
                  <c:v>1400</c:v>
                </c:pt>
                <c:pt idx="12">
                  <c:v>1449</c:v>
                </c:pt>
                <c:pt idx="13">
                  <c:v>1003</c:v>
                </c:pt>
                <c:pt idx="14">
                  <c:v>972</c:v>
                </c:pt>
                <c:pt idx="15">
                  <c:v>936</c:v>
                </c:pt>
                <c:pt idx="16">
                  <c:v>583</c:v>
                </c:pt>
                <c:pt idx="17">
                  <c:v>247</c:v>
                </c:pt>
                <c:pt idx="18">
                  <c:v>89</c:v>
                </c:pt>
                <c:pt idx="19">
                  <c:v>29</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7290648"/>
        <c:axId val="39728829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908</c:v>
                </c:pt>
                <c:pt idx="1">
                  <c:v>904</c:v>
                </c:pt>
                <c:pt idx="2">
                  <c:v>945</c:v>
                </c:pt>
                <c:pt idx="3">
                  <c:v>797</c:v>
                </c:pt>
                <c:pt idx="4">
                  <c:v>763</c:v>
                </c:pt>
                <c:pt idx="5">
                  <c:v>1090</c:v>
                </c:pt>
                <c:pt idx="6">
                  <c:v>1257</c:v>
                </c:pt>
                <c:pt idx="7">
                  <c:v>1306</c:v>
                </c:pt>
                <c:pt idx="8">
                  <c:v>1121</c:v>
                </c:pt>
                <c:pt idx="9">
                  <c:v>1233</c:v>
                </c:pt>
                <c:pt idx="10">
                  <c:v>1277</c:v>
                </c:pt>
                <c:pt idx="11">
                  <c:v>1519</c:v>
                </c:pt>
                <c:pt idx="12">
                  <c:v>1574</c:v>
                </c:pt>
                <c:pt idx="13">
                  <c:v>1238</c:v>
                </c:pt>
                <c:pt idx="14">
                  <c:v>1220</c:v>
                </c:pt>
                <c:pt idx="15">
                  <c:v>1265</c:v>
                </c:pt>
                <c:pt idx="16">
                  <c:v>1158</c:v>
                </c:pt>
                <c:pt idx="17">
                  <c:v>635</c:v>
                </c:pt>
                <c:pt idx="18">
                  <c:v>298</c:v>
                </c:pt>
                <c:pt idx="19">
                  <c:v>113</c:v>
                </c:pt>
                <c:pt idx="20">
                  <c:v>14</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7287512"/>
        <c:axId val="397288688"/>
      </c:barChart>
      <c:catAx>
        <c:axId val="39729064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88296"/>
        <c:crosses val="autoZero"/>
        <c:auto val="1"/>
        <c:lblAlgn val="ctr"/>
        <c:lblOffset val="100"/>
        <c:noMultiLvlLbl val="0"/>
      </c:catAx>
      <c:valAx>
        <c:axId val="397288296"/>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90648"/>
        <c:crosses val="autoZero"/>
        <c:crossBetween val="between"/>
        <c:majorUnit val="1000"/>
      </c:valAx>
      <c:valAx>
        <c:axId val="397288688"/>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87512"/>
        <c:crosses val="max"/>
        <c:crossBetween val="between"/>
        <c:majorUnit val="1000"/>
      </c:valAx>
      <c:catAx>
        <c:axId val="397287512"/>
        <c:scaling>
          <c:orientation val="minMax"/>
        </c:scaling>
        <c:delete val="1"/>
        <c:axPos val="l"/>
        <c:numFmt formatCode="General" sourceLinked="1"/>
        <c:majorTickMark val="out"/>
        <c:minorTickMark val="none"/>
        <c:tickLblPos val="nextTo"/>
        <c:crossAx val="39728868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18195</c:v>
                </c:pt>
                <c:pt idx="1">
                  <c:v>17561</c:v>
                </c:pt>
                <c:pt idx="2">
                  <c:v>16676</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20635</c:v>
                </c:pt>
                <c:pt idx="1">
                  <c:v>19529</c:v>
                </c:pt>
                <c:pt idx="2">
                  <c:v>18312</c:v>
                </c:pt>
              </c:numCache>
            </c:numRef>
          </c:val>
          <c:extLst xmlns:c16r2="http://schemas.microsoft.com/office/drawing/2015/06/chart">
            <c:ext xmlns:c16="http://schemas.microsoft.com/office/drawing/2014/chart" uri="{C3380CC4-5D6E-409C-BE32-E72D297353CC}">
              <c16:uniqueId val="{00000000-17DF-409E-91CF-E710265BFE0C}"/>
            </c:ext>
          </c:extLst>
        </c:ser>
        <c:dLbls>
          <c:showLegendKey val="0"/>
          <c:showVal val="0"/>
          <c:showCatName val="0"/>
          <c:showSerName val="0"/>
          <c:showPercent val="0"/>
          <c:showBubbleSize val="0"/>
        </c:dLbls>
        <c:gapWidth val="219"/>
        <c:overlap val="100"/>
        <c:axId val="397290256"/>
        <c:axId val="397287120"/>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38830</c:v>
                </c:pt>
                <c:pt idx="1">
                  <c:v>37090</c:v>
                </c:pt>
                <c:pt idx="2">
                  <c:v>34988</c:v>
                </c:pt>
              </c:numCache>
            </c:numRef>
          </c:val>
          <c:smooth val="0"/>
          <c:extLst xmlns:c16r2="http://schemas.microsoft.com/office/drawing/2015/06/chart">
            <c:ext xmlns:c16="http://schemas.microsoft.com/office/drawing/2014/chart" uri="{C3380CC4-5D6E-409C-BE32-E72D297353CC}">
              <c16:uniqueId val="{00000001-17DF-409E-91CF-E710265BFE0C}"/>
            </c:ext>
          </c:extLst>
        </c:ser>
        <c:dLbls>
          <c:showLegendKey val="0"/>
          <c:showVal val="0"/>
          <c:showCatName val="0"/>
          <c:showSerName val="0"/>
          <c:showPercent val="0"/>
          <c:showBubbleSize val="0"/>
        </c:dLbls>
        <c:marker val="1"/>
        <c:smooth val="0"/>
        <c:axId val="397290256"/>
        <c:axId val="397287120"/>
      </c:lineChart>
      <c:catAx>
        <c:axId val="3972902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87120"/>
        <c:crosses val="autoZero"/>
        <c:auto val="1"/>
        <c:lblAlgn val="ctr"/>
        <c:lblOffset val="100"/>
        <c:noMultiLvlLbl val="0"/>
      </c:catAx>
      <c:valAx>
        <c:axId val="3972871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290256"/>
        <c:crosses val="autoZero"/>
        <c:crossBetween val="between"/>
      </c:valAx>
      <c:spPr>
        <a:noFill/>
        <a:ln>
          <a:noFill/>
        </a:ln>
        <a:effectLst/>
      </c:spPr>
    </c:plotArea>
    <c:legend>
      <c:legendPos val="t"/>
      <c:legendEntry>
        <c:idx val="2"/>
        <c:delete val="1"/>
      </c:legendEntry>
      <c:layout>
        <c:manualLayout>
          <c:xMode val="edge"/>
          <c:yMode val="edge"/>
          <c:x val="0.70851120857035632"/>
          <c:y val="6.0772596013155725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1.135556520559279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007-40B0-A86C-5882391B16F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722</c:v>
                </c:pt>
                <c:pt idx="1">
                  <c:v>821</c:v>
                </c:pt>
                <c:pt idx="2">
                  <c:v>855</c:v>
                </c:pt>
                <c:pt idx="3">
                  <c:v>768</c:v>
                </c:pt>
                <c:pt idx="4">
                  <c:v>673</c:v>
                </c:pt>
                <c:pt idx="5">
                  <c:v>897</c:v>
                </c:pt>
                <c:pt idx="6">
                  <c:v>832</c:v>
                </c:pt>
                <c:pt idx="7">
                  <c:v>945</c:v>
                </c:pt>
                <c:pt idx="8">
                  <c:v>1087</c:v>
                </c:pt>
                <c:pt idx="9">
                  <c:v>1240</c:v>
                </c:pt>
                <c:pt idx="10">
                  <c:v>1019</c:v>
                </c:pt>
                <c:pt idx="11">
                  <c:v>1086</c:v>
                </c:pt>
                <c:pt idx="12">
                  <c:v>1095</c:v>
                </c:pt>
                <c:pt idx="13">
                  <c:v>1230</c:v>
                </c:pt>
                <c:pt idx="14">
                  <c:v>1279</c:v>
                </c:pt>
                <c:pt idx="15">
                  <c:v>784</c:v>
                </c:pt>
                <c:pt idx="16">
                  <c:v>677</c:v>
                </c:pt>
                <c:pt idx="17">
                  <c:v>452</c:v>
                </c:pt>
                <c:pt idx="18">
                  <c:v>175</c:v>
                </c:pt>
                <c:pt idx="19">
                  <c:v>38</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6790008"/>
        <c:axId val="39678765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689</c:v>
                </c:pt>
                <c:pt idx="1">
                  <c:v>720</c:v>
                </c:pt>
                <c:pt idx="2">
                  <c:v>797</c:v>
                </c:pt>
                <c:pt idx="3">
                  <c:v>722</c:v>
                </c:pt>
                <c:pt idx="4">
                  <c:v>576</c:v>
                </c:pt>
                <c:pt idx="5">
                  <c:v>646</c:v>
                </c:pt>
                <c:pt idx="6">
                  <c:v>834</c:v>
                </c:pt>
                <c:pt idx="7">
                  <c:v>929</c:v>
                </c:pt>
                <c:pt idx="8">
                  <c:v>1133</c:v>
                </c:pt>
                <c:pt idx="9">
                  <c:v>1184</c:v>
                </c:pt>
                <c:pt idx="10">
                  <c:v>1078</c:v>
                </c:pt>
                <c:pt idx="11">
                  <c:v>1210</c:v>
                </c:pt>
                <c:pt idx="12">
                  <c:v>1225</c:v>
                </c:pt>
                <c:pt idx="13">
                  <c:v>1389</c:v>
                </c:pt>
                <c:pt idx="14">
                  <c:v>1439</c:v>
                </c:pt>
                <c:pt idx="15">
                  <c:v>1110</c:v>
                </c:pt>
                <c:pt idx="16">
                  <c:v>1009</c:v>
                </c:pt>
                <c:pt idx="17">
                  <c:v>881</c:v>
                </c:pt>
                <c:pt idx="18">
                  <c:v>528</c:v>
                </c:pt>
                <c:pt idx="19">
                  <c:v>175</c:v>
                </c:pt>
                <c:pt idx="20">
                  <c:v>38</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6790792"/>
        <c:axId val="396792752"/>
      </c:barChart>
      <c:catAx>
        <c:axId val="3967900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787656"/>
        <c:crosses val="autoZero"/>
        <c:auto val="1"/>
        <c:lblAlgn val="ctr"/>
        <c:lblOffset val="100"/>
        <c:noMultiLvlLbl val="0"/>
      </c:catAx>
      <c:valAx>
        <c:axId val="396787656"/>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790008"/>
        <c:crosses val="autoZero"/>
        <c:crossBetween val="between"/>
        <c:majorUnit val="1000"/>
      </c:valAx>
      <c:valAx>
        <c:axId val="396792752"/>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790792"/>
        <c:crosses val="max"/>
        <c:crossBetween val="between"/>
        <c:majorUnit val="1000"/>
      </c:valAx>
      <c:catAx>
        <c:axId val="396790792"/>
        <c:scaling>
          <c:orientation val="minMax"/>
        </c:scaling>
        <c:delete val="1"/>
        <c:axPos val="l"/>
        <c:numFmt formatCode="General" sourceLinked="1"/>
        <c:majorTickMark val="out"/>
        <c:minorTickMark val="none"/>
        <c:tickLblPos val="nextTo"/>
        <c:crossAx val="39679275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7782-4C20-BD42-690FFB1D8D2C}"/>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7782-4C20-BD42-690FFB1D8D2C}"/>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7782-4C20-BD42-690FFB1D8D2C}"/>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782-4C20-BD42-690FFB1D8D2C}"/>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7782-4C20-BD42-690FFB1D8D2C}"/>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18195</c:v>
                </c:pt>
                <c:pt idx="1">
                  <c:v>17561</c:v>
                </c:pt>
                <c:pt idx="2">
                  <c:v>16676</c:v>
                </c:pt>
                <c:pt idx="3">
                  <c:v>15645</c:v>
                </c:pt>
                <c:pt idx="4">
                  <c:v>14557</c:v>
                </c:pt>
                <c:pt idx="5">
                  <c:v>13459</c:v>
                </c:pt>
                <c:pt idx="6">
                  <c:v>12375</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7782-4C20-BD42-690FFB1D8D2C}"/>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7782-4C20-BD42-690FFB1D8D2C}"/>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7782-4C20-BD42-690FFB1D8D2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20635</c:v>
                </c:pt>
                <c:pt idx="1">
                  <c:v>19529</c:v>
                </c:pt>
                <c:pt idx="2">
                  <c:v>18312</c:v>
                </c:pt>
                <c:pt idx="3">
                  <c:v>16936</c:v>
                </c:pt>
                <c:pt idx="4">
                  <c:v>15543</c:v>
                </c:pt>
                <c:pt idx="5">
                  <c:v>14198</c:v>
                </c:pt>
                <c:pt idx="6">
                  <c:v>12865</c:v>
                </c:pt>
              </c:numCache>
            </c:numRef>
          </c:val>
          <c:extLst xmlns:c16r2="http://schemas.microsoft.com/office/drawing/2015/06/chart">
            <c:ext xmlns:c16="http://schemas.microsoft.com/office/drawing/2014/chart" uri="{C3380CC4-5D6E-409C-BE32-E72D297353CC}">
              <c16:uniqueId val="{00000010-7782-4C20-BD42-690FFB1D8D2C}"/>
            </c:ext>
          </c:extLst>
        </c:ser>
        <c:dLbls>
          <c:showLegendKey val="0"/>
          <c:showVal val="0"/>
          <c:showCatName val="0"/>
          <c:showSerName val="0"/>
          <c:showPercent val="0"/>
          <c:showBubbleSize val="0"/>
        </c:dLbls>
        <c:gapWidth val="219"/>
        <c:overlap val="100"/>
        <c:axId val="396794320"/>
        <c:axId val="396791968"/>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38830</c:v>
                </c:pt>
                <c:pt idx="1">
                  <c:v>37090</c:v>
                </c:pt>
                <c:pt idx="2">
                  <c:v>34988</c:v>
                </c:pt>
                <c:pt idx="3">
                  <c:v>32581</c:v>
                </c:pt>
                <c:pt idx="4">
                  <c:v>30100</c:v>
                </c:pt>
                <c:pt idx="5">
                  <c:v>27657</c:v>
                </c:pt>
                <c:pt idx="6">
                  <c:v>25240</c:v>
                </c:pt>
              </c:numCache>
            </c:numRef>
          </c:val>
          <c:smooth val="0"/>
          <c:extLst xmlns:c16r2="http://schemas.microsoft.com/office/drawing/2015/06/chart">
            <c:ext xmlns:c16="http://schemas.microsoft.com/office/drawing/2014/chart" uri="{C3380CC4-5D6E-409C-BE32-E72D297353CC}">
              <c16:uniqueId val="{00000011-7782-4C20-BD42-690FFB1D8D2C}"/>
            </c:ext>
          </c:extLst>
        </c:ser>
        <c:dLbls>
          <c:showLegendKey val="0"/>
          <c:showVal val="0"/>
          <c:showCatName val="0"/>
          <c:showSerName val="0"/>
          <c:showPercent val="0"/>
          <c:showBubbleSize val="0"/>
        </c:dLbls>
        <c:marker val="1"/>
        <c:smooth val="0"/>
        <c:axId val="396794320"/>
        <c:axId val="396791968"/>
      </c:lineChart>
      <c:catAx>
        <c:axId val="3967943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791968"/>
        <c:crosses val="autoZero"/>
        <c:auto val="1"/>
        <c:lblAlgn val="ctr"/>
        <c:lblOffset val="100"/>
        <c:noMultiLvlLbl val="0"/>
      </c:catAx>
      <c:valAx>
        <c:axId val="39679196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794320"/>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2297</c:v>
                </c:pt>
                <c:pt idx="1">
                  <c:v>2130</c:v>
                </c:pt>
                <c:pt idx="2">
                  <c:v>1917</c:v>
                </c:pt>
                <c:pt idx="3">
                  <c:v>1658</c:v>
                </c:pt>
                <c:pt idx="4">
                  <c:v>1407</c:v>
                </c:pt>
                <c:pt idx="5">
                  <c:v>1217</c:v>
                </c:pt>
                <c:pt idx="6">
                  <c:v>1099</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6789616"/>
        <c:axId val="396791184"/>
      </c:barChart>
      <c:catAx>
        <c:axId val="396789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791184"/>
        <c:crosses val="autoZero"/>
        <c:auto val="1"/>
        <c:lblAlgn val="ctr"/>
        <c:lblOffset val="100"/>
        <c:noMultiLvlLbl val="0"/>
      </c:catAx>
      <c:valAx>
        <c:axId val="39679118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78961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 xmlns:a16="http://schemas.microsoft.com/office/drawing/2014/main"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 xmlns:a16="http://schemas.microsoft.com/office/drawing/2014/main"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 xmlns:a16="http://schemas.microsoft.com/office/drawing/2014/main"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 xmlns:a16="http://schemas.microsoft.com/office/drawing/2014/main"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 xmlns:a16="http://schemas.microsoft.com/office/drawing/2014/main"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 xmlns:a16="http://schemas.microsoft.com/office/drawing/2014/main"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 xmlns:a16="http://schemas.microsoft.com/office/drawing/2014/main"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 xmlns:a16="http://schemas.microsoft.com/office/drawing/2014/main"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 xmlns:a16="http://schemas.microsoft.com/office/drawing/2014/main"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 xmlns:a16="http://schemas.microsoft.com/office/drawing/2014/main"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 xmlns:a16="http://schemas.microsoft.com/office/drawing/2014/main"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 xmlns:a16="http://schemas.microsoft.com/office/drawing/2014/main"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 xmlns:a16="http://schemas.microsoft.com/office/drawing/2014/main"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 xmlns:a16="http://schemas.microsoft.com/office/drawing/2014/main"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 xmlns:a16="http://schemas.microsoft.com/office/drawing/2014/main"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 xmlns:a16="http://schemas.microsoft.com/office/drawing/2014/main"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 xmlns:a16="http://schemas.microsoft.com/office/drawing/2014/main"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 xmlns:a16="http://schemas.microsoft.com/office/drawing/2014/main"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 xmlns:a16="http://schemas.microsoft.com/office/drawing/2014/main"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 xmlns:a16="http://schemas.microsoft.com/office/drawing/2014/main"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 xmlns:a16="http://schemas.microsoft.com/office/drawing/2014/main"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 xmlns:a16="http://schemas.microsoft.com/office/drawing/2014/main"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 xmlns:a16="http://schemas.microsoft.com/office/drawing/2014/main"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 xmlns:a16="http://schemas.microsoft.com/office/drawing/2014/main"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 xmlns:a16="http://schemas.microsoft.com/office/drawing/2014/main"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 xmlns:a16="http://schemas.microsoft.com/office/drawing/2014/main"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 xmlns:a16="http://schemas.microsoft.com/office/drawing/2014/main"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 xmlns:a16="http://schemas.microsoft.com/office/drawing/2014/main"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 xmlns:a16="http://schemas.microsoft.com/office/drawing/2014/main"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 xmlns:a16="http://schemas.microsoft.com/office/drawing/2014/main"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 xmlns:a16="http://schemas.microsoft.com/office/drawing/2014/main"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 xmlns:a16="http://schemas.microsoft.com/office/drawing/2014/main"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 xmlns:a16="http://schemas.microsoft.com/office/drawing/2014/main"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 xmlns:a16="http://schemas.microsoft.com/office/drawing/2014/main"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 xmlns:a16="http://schemas.microsoft.com/office/drawing/2014/main"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 xmlns:a16="http://schemas.microsoft.com/office/drawing/2014/main"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 xmlns:a16="http://schemas.microsoft.com/office/drawing/2014/main"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 xmlns:a16="http://schemas.microsoft.com/office/drawing/2014/main"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 xmlns:a16="http://schemas.microsoft.com/office/drawing/2014/main"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 xmlns:a16="http://schemas.microsoft.com/office/drawing/2014/main"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 xmlns:a16="http://schemas.microsoft.com/office/drawing/2014/main"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 xmlns:a16="http://schemas.microsoft.com/office/drawing/2014/main"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 xmlns:a16="http://schemas.microsoft.com/office/drawing/2014/main"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 xmlns:a16="http://schemas.microsoft.com/office/drawing/2014/main"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 xmlns:a16="http://schemas.microsoft.com/office/drawing/2014/main"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 xmlns:a16="http://schemas.microsoft.com/office/drawing/2014/main"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 xmlns:a16="http://schemas.microsoft.com/office/drawing/2014/main"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 xmlns:a16="http://schemas.microsoft.com/office/drawing/2014/main"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 xmlns:a16="http://schemas.microsoft.com/office/drawing/2014/main"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 xmlns:a16="http://schemas.microsoft.com/office/drawing/2014/main"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 xmlns:a16="http://schemas.microsoft.com/office/drawing/2014/main"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 xmlns:a16="http://schemas.microsoft.com/office/drawing/2014/main"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 xmlns:a16="http://schemas.microsoft.com/office/drawing/2014/main"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 xmlns:a16="http://schemas.microsoft.com/office/drawing/2014/main"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 xmlns:a16="http://schemas.microsoft.com/office/drawing/2014/main"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 xmlns:a16="http://schemas.microsoft.com/office/drawing/2014/main"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 xmlns:a16="http://schemas.microsoft.com/office/drawing/2014/main"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 xmlns:a16="http://schemas.microsoft.com/office/drawing/2014/main"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 xmlns:a16="http://schemas.microsoft.com/office/drawing/2014/main"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 xmlns:a16="http://schemas.microsoft.com/office/drawing/2014/main"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 xmlns:a16="http://schemas.microsoft.com/office/drawing/2014/main"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 xmlns:a16="http://schemas.microsoft.com/office/drawing/2014/main"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 xmlns:a16="http://schemas.microsoft.com/office/drawing/2014/main"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 xmlns:a16="http://schemas.microsoft.com/office/drawing/2014/main"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 xmlns:a16="http://schemas.microsoft.com/office/drawing/2014/main"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 xmlns:a16="http://schemas.microsoft.com/office/drawing/2014/main"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 xmlns:a16="http://schemas.microsoft.com/office/drawing/2014/main"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5" t="s">
        <v>322</v>
      </c>
      <c r="B8" s="245"/>
      <c r="C8" s="245"/>
      <c r="D8" s="245"/>
      <c r="E8" s="245"/>
      <c r="F8" s="245"/>
      <c r="G8" s="245"/>
      <c r="H8" s="245"/>
      <c r="I8" s="245"/>
      <c r="J8" s="245"/>
    </row>
    <row r="9" spans="1:10" x14ac:dyDescent="0.15">
      <c r="A9" s="248" t="s">
        <v>357</v>
      </c>
      <c r="B9" s="248"/>
      <c r="C9" s="248"/>
      <c r="D9" s="248"/>
      <c r="E9" s="248"/>
      <c r="F9" s="248"/>
      <c r="G9" s="248"/>
      <c r="H9" s="248"/>
      <c r="I9" s="248"/>
      <c r="J9" s="248"/>
    </row>
    <row r="10" spans="1:10" x14ac:dyDescent="0.15">
      <c r="A10" s="248"/>
      <c r="B10" s="248"/>
      <c r="C10" s="248"/>
      <c r="D10" s="248"/>
      <c r="E10" s="248"/>
      <c r="F10" s="248"/>
      <c r="G10" s="248"/>
      <c r="H10" s="248"/>
      <c r="I10" s="248"/>
      <c r="J10" s="248"/>
    </row>
    <row r="11" spans="1:10" x14ac:dyDescent="0.15">
      <c r="A11" s="248"/>
      <c r="B11" s="248"/>
      <c r="C11" s="248"/>
      <c r="D11" s="248"/>
      <c r="E11" s="248"/>
      <c r="F11" s="248"/>
      <c r="G11" s="248"/>
      <c r="H11" s="248"/>
      <c r="I11" s="248"/>
      <c r="J11" s="248"/>
    </row>
    <row r="12" spans="1:10" x14ac:dyDescent="0.15">
      <c r="A12" s="248"/>
      <c r="B12" s="248"/>
      <c r="C12" s="248"/>
      <c r="D12" s="248"/>
      <c r="E12" s="248"/>
      <c r="F12" s="248"/>
      <c r="G12" s="248"/>
      <c r="H12" s="248"/>
      <c r="I12" s="248"/>
      <c r="J12" s="248"/>
    </row>
    <row r="15" spans="1:10" ht="18.75" customHeight="1" x14ac:dyDescent="0.15">
      <c r="A15" s="246" t="str">
        <f>管理者入力シート!B4</f>
        <v>恒富地区</v>
      </c>
      <c r="B15" s="246"/>
      <c r="C15" s="246"/>
      <c r="D15" s="246"/>
      <c r="E15" s="246"/>
      <c r="F15" s="246"/>
      <c r="G15" s="246"/>
      <c r="H15" s="246"/>
      <c r="I15" s="246"/>
      <c r="J15" s="246"/>
    </row>
    <row r="16" spans="1:10" ht="18.75" customHeight="1" x14ac:dyDescent="0.15">
      <c r="A16" s="246"/>
      <c r="B16" s="246"/>
      <c r="C16" s="246"/>
      <c r="D16" s="246"/>
      <c r="E16" s="246"/>
      <c r="F16" s="246"/>
      <c r="G16" s="246"/>
      <c r="H16" s="246"/>
      <c r="I16" s="246"/>
      <c r="J16" s="246"/>
    </row>
    <row r="19" spans="1:10" ht="18.75" customHeight="1" x14ac:dyDescent="0.15">
      <c r="A19" s="247" t="s">
        <v>358</v>
      </c>
      <c r="B19" s="247"/>
      <c r="C19" s="247"/>
      <c r="D19" s="247"/>
      <c r="E19" s="247"/>
      <c r="F19" s="247"/>
      <c r="G19" s="247"/>
      <c r="H19" s="247"/>
      <c r="I19" s="247"/>
      <c r="J19" s="247"/>
    </row>
    <row r="20" spans="1:10" x14ac:dyDescent="0.15">
      <c r="A20" s="247"/>
      <c r="B20" s="247"/>
      <c r="C20" s="247"/>
      <c r="D20" s="247"/>
      <c r="E20" s="247"/>
      <c r="F20" s="247"/>
      <c r="G20" s="247"/>
      <c r="H20" s="247"/>
      <c r="I20" s="247"/>
      <c r="J20" s="247"/>
    </row>
    <row r="21" spans="1:10" x14ac:dyDescent="0.15">
      <c r="A21" s="247"/>
      <c r="B21" s="247"/>
      <c r="C21" s="247"/>
      <c r="D21" s="247"/>
      <c r="E21" s="247"/>
      <c r="F21" s="247"/>
      <c r="G21" s="247"/>
      <c r="H21" s="247"/>
      <c r="I21" s="247"/>
      <c r="J21" s="247"/>
    </row>
    <row r="22" spans="1:10" x14ac:dyDescent="0.15">
      <c r="A22" s="247"/>
      <c r="B22" s="247"/>
      <c r="C22" s="247"/>
      <c r="D22" s="247"/>
      <c r="E22" s="247"/>
      <c r="F22" s="247"/>
      <c r="G22" s="247"/>
      <c r="H22" s="247"/>
      <c r="I22" s="247"/>
      <c r="J22" s="247"/>
    </row>
    <row r="23" spans="1:10" x14ac:dyDescent="0.15">
      <c r="A23" s="247"/>
      <c r="B23" s="247"/>
      <c r="C23" s="247"/>
      <c r="D23" s="247"/>
      <c r="E23" s="247"/>
      <c r="F23" s="247"/>
      <c r="G23" s="247"/>
      <c r="H23" s="247"/>
      <c r="I23" s="247"/>
      <c r="J23" s="247"/>
    </row>
    <row r="24" spans="1:10" x14ac:dyDescent="0.15">
      <c r="A24" s="247"/>
      <c r="B24" s="247"/>
      <c r="C24" s="247"/>
      <c r="D24" s="247"/>
      <c r="E24" s="247"/>
      <c r="F24" s="247"/>
      <c r="G24" s="247"/>
      <c r="H24" s="247"/>
      <c r="I24" s="247"/>
      <c r="J24" s="247"/>
    </row>
    <row r="25" spans="1:10" x14ac:dyDescent="0.15">
      <c r="A25" s="247"/>
      <c r="B25" s="247"/>
      <c r="C25" s="247"/>
      <c r="D25" s="247"/>
      <c r="E25" s="247"/>
      <c r="F25" s="247"/>
      <c r="G25" s="247"/>
      <c r="H25" s="247"/>
      <c r="I25" s="247"/>
      <c r="J25" s="247"/>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6"/>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4" t="s">
        <v>127</v>
      </c>
      <c r="B1" s="325" t="s">
        <v>128</v>
      </c>
      <c r="C1" s="327" t="s">
        <v>129</v>
      </c>
      <c r="D1" s="329" t="s">
        <v>130</v>
      </c>
      <c r="E1" s="329"/>
      <c r="F1" s="329"/>
      <c r="G1" s="329"/>
      <c r="H1" s="329"/>
      <c r="I1" s="329"/>
      <c r="J1" s="329"/>
      <c r="K1" s="297" t="s">
        <v>131</v>
      </c>
      <c r="L1" s="297"/>
      <c r="M1" s="297"/>
      <c r="N1" s="297"/>
      <c r="O1" s="297"/>
      <c r="P1" s="297"/>
      <c r="Q1" s="297"/>
      <c r="R1" s="330" t="s">
        <v>132</v>
      </c>
      <c r="S1" s="331"/>
      <c r="T1" s="331"/>
      <c r="U1" s="331"/>
      <c r="V1" s="331"/>
      <c r="W1" s="331"/>
      <c r="X1" s="331"/>
      <c r="Y1" s="331"/>
      <c r="Z1" s="331"/>
      <c r="AA1" s="331"/>
      <c r="AB1" s="331"/>
      <c r="AC1" s="331"/>
      <c r="AD1" s="331"/>
      <c r="AE1" s="331"/>
      <c r="AF1" s="331"/>
      <c r="AG1" s="331"/>
      <c r="AH1" s="331"/>
      <c r="AI1" s="331"/>
      <c r="AJ1" s="331"/>
      <c r="AK1" s="331"/>
      <c r="AL1" s="331"/>
      <c r="AM1" s="331"/>
      <c r="AN1" s="331"/>
      <c r="AO1" s="332"/>
      <c r="AP1" s="318" t="s">
        <v>133</v>
      </c>
      <c r="AQ1" s="319"/>
      <c r="AR1" s="319"/>
      <c r="AS1" s="319"/>
      <c r="AT1" s="319"/>
      <c r="AU1" s="319"/>
      <c r="AV1" s="319"/>
      <c r="AW1" s="319"/>
      <c r="AX1" s="319"/>
      <c r="AY1" s="319"/>
      <c r="AZ1" s="319"/>
      <c r="BA1" s="319"/>
      <c r="BB1" s="319"/>
      <c r="BC1" s="319"/>
      <c r="BD1" s="319"/>
      <c r="BE1" s="319"/>
      <c r="BF1" s="319"/>
      <c r="BG1" s="319"/>
      <c r="BH1" s="319"/>
      <c r="BI1" s="319"/>
      <c r="BJ1" s="319"/>
      <c r="BK1" s="319"/>
      <c r="BL1" s="319"/>
      <c r="BM1" s="319"/>
      <c r="BN1" s="319"/>
      <c r="BO1" s="319"/>
      <c r="BP1" s="319"/>
      <c r="BQ1" s="319"/>
      <c r="BR1" s="319"/>
      <c r="BS1" s="319"/>
      <c r="BT1" s="319"/>
      <c r="BU1" s="319"/>
      <c r="BV1" s="319"/>
      <c r="BW1" s="319"/>
      <c r="BX1" s="319"/>
      <c r="BY1" s="319"/>
      <c r="BZ1" s="319"/>
      <c r="CA1" s="319"/>
      <c r="CB1" s="320"/>
      <c r="CC1" s="321" t="s">
        <v>134</v>
      </c>
      <c r="CD1" s="322"/>
      <c r="CE1" s="322"/>
      <c r="CF1" s="322"/>
      <c r="CG1" s="322"/>
      <c r="CH1" s="322"/>
      <c r="CI1" s="322"/>
      <c r="CJ1" s="322"/>
      <c r="CK1" s="322"/>
      <c r="CL1" s="322"/>
      <c r="CM1" s="322"/>
      <c r="CN1" s="322"/>
      <c r="CO1" s="322"/>
      <c r="CP1" s="323"/>
    </row>
    <row r="2" spans="1:94" s="80" customFormat="1" ht="60" x14ac:dyDescent="0.15">
      <c r="A2" s="325"/>
      <c r="B2" s="326"/>
      <c r="C2" s="328"/>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延岡市平均</v>
      </c>
      <c r="C4" s="88" t="str">
        <f>B4</f>
        <v>延岡市平均</v>
      </c>
      <c r="D4" s="185">
        <f>SUM(D7:D70)</f>
        <v>51424</v>
      </c>
      <c r="E4" s="186">
        <f>SUM(E7:E70)</f>
        <v>25737</v>
      </c>
      <c r="F4" s="186">
        <f>SUM(F7:F70)</f>
        <v>7867</v>
      </c>
      <c r="G4" s="187">
        <f>SUM(G7:G70)</f>
        <v>8257</v>
      </c>
      <c r="H4" s="148">
        <f>E4/D4</f>
        <v>0.5004861543248289</v>
      </c>
      <c r="I4" s="149">
        <f>F4/D4</f>
        <v>0.15298304293714998</v>
      </c>
      <c r="J4" s="150">
        <f>G4/D4</f>
        <v>0.16056705040448041</v>
      </c>
      <c r="K4" s="185">
        <f>SUM(K7:K70)</f>
        <v>118394</v>
      </c>
      <c r="L4" s="186">
        <f>SUM(L7:L70)</f>
        <v>12929</v>
      </c>
      <c r="M4" s="186">
        <f>SUM(M7:M70)</f>
        <v>41044</v>
      </c>
      <c r="N4" s="187">
        <f>SUM(N7:N70)</f>
        <v>58537</v>
      </c>
      <c r="O4" s="148">
        <f>L4/K4</f>
        <v>0.10920316907951416</v>
      </c>
      <c r="P4" s="149">
        <f>M4/K4</f>
        <v>0.34667297329256552</v>
      </c>
      <c r="Q4" s="150">
        <f>N4/K4</f>
        <v>0.49442539317870837</v>
      </c>
      <c r="R4" s="185">
        <f>SUM(R7:R70)</f>
        <v>118394</v>
      </c>
      <c r="S4" s="145">
        <f>SUM(S7:S70)</f>
        <v>16546</v>
      </c>
      <c r="T4" s="145">
        <f>SUM(T7:T70)</f>
        <v>3638</v>
      </c>
      <c r="U4" s="144">
        <f>SUM(U7:U70)</f>
        <v>4306</v>
      </c>
      <c r="V4" s="144">
        <f>SUM(V7:V70)</f>
        <v>337</v>
      </c>
      <c r="W4" s="146">
        <f>S4+T4+U4+V4</f>
        <v>24827</v>
      </c>
      <c r="X4" s="143">
        <f>SUM(X7:X70)</f>
        <v>56100</v>
      </c>
      <c r="Y4" s="144">
        <f>SUM(Y7:Y70)</f>
        <v>7375</v>
      </c>
      <c r="Z4" s="144">
        <f>SUM(Z7:Z70)</f>
        <v>1904</v>
      </c>
      <c r="AA4" s="144">
        <f>SUM(AA7:AA70)</f>
        <v>2484</v>
      </c>
      <c r="AB4" s="144">
        <f>SUM(AB7:AB70)</f>
        <v>184</v>
      </c>
      <c r="AC4" s="146">
        <f>Y4+Z4+AA4+AB4</f>
        <v>11947</v>
      </c>
      <c r="AD4" s="143">
        <f>SUM(AD7:AD70)</f>
        <v>62294</v>
      </c>
      <c r="AE4" s="143">
        <f t="shared" ref="AE4:AH4" si="0">SUM(AE7:AE70)</f>
        <v>9171</v>
      </c>
      <c r="AF4" s="143">
        <f t="shared" si="0"/>
        <v>1734</v>
      </c>
      <c r="AG4" s="143">
        <f t="shared" si="0"/>
        <v>1822</v>
      </c>
      <c r="AH4" s="143">
        <f t="shared" si="0"/>
        <v>153</v>
      </c>
      <c r="AI4" s="146">
        <f>AE4+AF4+AG4+AH4</f>
        <v>12880</v>
      </c>
      <c r="AJ4" s="148">
        <f>W4/R4</f>
        <v>0.20969812659425308</v>
      </c>
      <c r="AK4" s="149">
        <f>T4/W4</f>
        <v>0.1465340153864744</v>
      </c>
      <c r="AL4" s="149">
        <f>U4/W4</f>
        <v>0.17344020622709147</v>
      </c>
      <c r="AM4" s="149">
        <f>V4/W4</f>
        <v>1.3573931606718492E-2</v>
      </c>
      <c r="AN4" s="147">
        <f>AC4/W4</f>
        <v>0.48120997301325169</v>
      </c>
      <c r="AO4" s="150">
        <f>AI4/W4</f>
        <v>0.51879002698674825</v>
      </c>
      <c r="AP4" s="143">
        <f>SUM(AP7:AP70)</f>
        <v>54364</v>
      </c>
      <c r="AQ4" s="144">
        <f t="shared" ref="AQ4:BI4" si="1">SUM(AQ7:AQ70)</f>
        <v>1953</v>
      </c>
      <c r="AR4" s="144">
        <f t="shared" si="1"/>
        <v>772</v>
      </c>
      <c r="AS4" s="144">
        <f t="shared" si="1"/>
        <v>12</v>
      </c>
      <c r="AT4" s="144">
        <f t="shared" si="1"/>
        <v>6025</v>
      </c>
      <c r="AU4" s="144">
        <f t="shared" si="1"/>
        <v>9078</v>
      </c>
      <c r="AV4" s="144">
        <f t="shared" si="1"/>
        <v>219</v>
      </c>
      <c r="AW4" s="144">
        <f t="shared" si="1"/>
        <v>588</v>
      </c>
      <c r="AX4" s="144">
        <f t="shared" si="1"/>
        <v>1908</v>
      </c>
      <c r="AY4" s="144">
        <f t="shared" si="1"/>
        <v>8064</v>
      </c>
      <c r="AZ4" s="144">
        <f t="shared" si="1"/>
        <v>892</v>
      </c>
      <c r="BA4" s="144">
        <f t="shared" si="1"/>
        <v>787</v>
      </c>
      <c r="BB4" s="144">
        <f t="shared" si="1"/>
        <v>1190</v>
      </c>
      <c r="BC4" s="144">
        <f t="shared" si="1"/>
        <v>2652</v>
      </c>
      <c r="BD4" s="144">
        <f t="shared" si="1"/>
        <v>1973</v>
      </c>
      <c r="BE4" s="144">
        <f t="shared" si="1"/>
        <v>2571</v>
      </c>
      <c r="BF4" s="144">
        <f t="shared" si="1"/>
        <v>8951</v>
      </c>
      <c r="BG4" s="144">
        <f t="shared" si="1"/>
        <v>591</v>
      </c>
      <c r="BH4" s="144">
        <f t="shared" si="1"/>
        <v>3224</v>
      </c>
      <c r="BI4" s="146">
        <f t="shared" si="1"/>
        <v>1908</v>
      </c>
      <c r="BJ4" s="147">
        <f>IF($AP4=0,0,AQ4/$AP4)</f>
        <v>3.5924508866161428E-2</v>
      </c>
      <c r="BK4" s="149">
        <f t="shared" ref="BK4:CB4" si="2">IF($AP4=0,0,AR4/$AP4)</f>
        <v>1.4200573909204621E-2</v>
      </c>
      <c r="BL4" s="149">
        <f t="shared" si="2"/>
        <v>2.2073430946950188E-4</v>
      </c>
      <c r="BM4" s="149">
        <f t="shared" si="2"/>
        <v>0.11082701787947907</v>
      </c>
      <c r="BN4" s="149">
        <f t="shared" si="2"/>
        <v>0.16698550511367816</v>
      </c>
      <c r="BO4" s="149">
        <f t="shared" si="2"/>
        <v>4.0284011478184095E-3</v>
      </c>
      <c r="BP4" s="149">
        <f t="shared" si="2"/>
        <v>1.0815981164005593E-2</v>
      </c>
      <c r="BQ4" s="149">
        <f t="shared" si="2"/>
        <v>3.5096755205650795E-2</v>
      </c>
      <c r="BR4" s="149">
        <f t="shared" si="2"/>
        <v>0.14833345596350525</v>
      </c>
      <c r="BS4" s="149">
        <f t="shared" si="2"/>
        <v>1.6407917003899639E-2</v>
      </c>
      <c r="BT4" s="149">
        <f t="shared" si="2"/>
        <v>1.4476491796041498E-2</v>
      </c>
      <c r="BU4" s="149">
        <f t="shared" si="2"/>
        <v>2.1889485689058935E-2</v>
      </c>
      <c r="BV4" s="149">
        <f t="shared" si="2"/>
        <v>4.8782282392759918E-2</v>
      </c>
      <c r="BW4" s="149">
        <f t="shared" si="2"/>
        <v>3.6292399381943931E-2</v>
      </c>
      <c r="BX4" s="149">
        <f t="shared" si="2"/>
        <v>4.7292325803840775E-2</v>
      </c>
      <c r="BY4" s="149">
        <f t="shared" si="2"/>
        <v>0.16464940033845926</v>
      </c>
      <c r="BZ4" s="149">
        <f t="shared" si="2"/>
        <v>1.0871164741372967E-2</v>
      </c>
      <c r="CA4" s="149">
        <f t="shared" si="2"/>
        <v>5.9303951144139506E-2</v>
      </c>
      <c r="CB4" s="150">
        <f t="shared" si="2"/>
        <v>3.5096755205650795E-2</v>
      </c>
      <c r="CC4" s="143">
        <f>SUM(CC7:CC70)</f>
        <v>54364</v>
      </c>
      <c r="CD4" s="144">
        <f t="shared" ref="CD4:CI4" si="3">SUM(CD7:CD70)</f>
        <v>49258</v>
      </c>
      <c r="CE4" s="144">
        <f t="shared" si="3"/>
        <v>3772</v>
      </c>
      <c r="CF4" s="144">
        <f t="shared" si="3"/>
        <v>433</v>
      </c>
      <c r="CG4" s="143">
        <f t="shared" si="3"/>
        <v>4905</v>
      </c>
      <c r="CH4" s="144">
        <f t="shared" si="3"/>
        <v>4279</v>
      </c>
      <c r="CI4" s="144">
        <f t="shared" si="3"/>
        <v>448</v>
      </c>
      <c r="CJ4" s="144">
        <f>SUM(CJ7:CJ70)</f>
        <v>77</v>
      </c>
      <c r="CK4" s="148">
        <f t="shared" ref="CK4:CM4" si="4">IF($CC4=0,0,CD4/$CC4)</f>
        <v>0.90607755132072698</v>
      </c>
      <c r="CL4" s="149">
        <f t="shared" si="4"/>
        <v>6.9384151276580083E-2</v>
      </c>
      <c r="CM4" s="150">
        <f t="shared" si="4"/>
        <v>7.9648296666911932E-3</v>
      </c>
      <c r="CN4" s="148">
        <f t="shared" ref="CN4:CP4" si="5">IF($CG4=0,0,CH4/$CG4)</f>
        <v>0.87237512742099899</v>
      </c>
      <c r="CO4" s="149">
        <f t="shared" si="5"/>
        <v>9.1335372069317022E-2</v>
      </c>
      <c r="CP4" s="150">
        <f t="shared" si="5"/>
        <v>1.5698267074413862E-2</v>
      </c>
    </row>
    <row r="5" spans="1:94" s="181" customFormat="1" x14ac:dyDescent="0.15">
      <c r="A5" s="183" t="str">
        <f>管理者入力シート!B2</f>
        <v>45203_3</v>
      </c>
      <c r="B5" s="201" t="str">
        <f>VLOOKUP($A$5,$A$7:$CP$50,2,FALSE)</f>
        <v>延岡市</v>
      </c>
      <c r="C5" s="201" t="str">
        <f>VLOOKUP($A$5,$A$7:$CP$50,3,FALSE)</f>
        <v>恒富地区</v>
      </c>
      <c r="D5" s="188">
        <f>VLOOKUP($A$5,$A$7:$CP$70,4,FALSE)</f>
        <v>15557</v>
      </c>
      <c r="E5" s="189">
        <f>VLOOKUP($A$5,$A$7:$CP$70,5,FALSE)</f>
        <v>6993</v>
      </c>
      <c r="F5" s="189">
        <f>VLOOKUP($A$5,$A$7:$CP$70,6,FALSE)</f>
        <v>2140</v>
      </c>
      <c r="G5" s="190">
        <f>VLOOKUP($A$5,$A$7:$CP$70,7,FALSE)</f>
        <v>2374</v>
      </c>
      <c r="H5" s="178">
        <f>VLOOKUP($A$5,$A$7:$CP$70,8,FALSE)</f>
        <v>0.4495082599472906</v>
      </c>
      <c r="I5" s="179">
        <f>VLOOKUP($A$5,$A$7:$CP$70,9,FALSE)</f>
        <v>0.13755865526772515</v>
      </c>
      <c r="J5" s="180">
        <f>VLOOKUP($A$5,$A$7:$CP$70,10,FALSE)</f>
        <v>0.15260011570354182</v>
      </c>
      <c r="K5" s="188">
        <f>VLOOKUP($A$5,$A$7:$CP$70,11,FALSE)</f>
        <v>34988</v>
      </c>
      <c r="L5" s="189">
        <f>VLOOKUP($A$5,$A$7:$CP$70,12,FALSE)</f>
        <v>3175</v>
      </c>
      <c r="M5" s="189">
        <f>VLOOKUP($A$5,$A$7:$CP$70,13,FALSE)</f>
        <v>13018</v>
      </c>
      <c r="N5" s="190">
        <f>VLOOKUP($A$5,$A$7:$CP$70,14,FALSE)</f>
        <v>16681</v>
      </c>
      <c r="O5" s="178">
        <f>VLOOKUP($A$5,$A$7:$CP$70,15,FALSE)</f>
        <v>9.0745398422316229E-2</v>
      </c>
      <c r="P5" s="179">
        <f>VLOOKUP($A$5,$A$7:$CP$70,16,FALSE)</f>
        <v>0.3720704241454213</v>
      </c>
      <c r="Q5" s="180">
        <f>VLOOKUP($A$5,$A$7:$CP$70,17,FALSE)</f>
        <v>0.47676346175831713</v>
      </c>
      <c r="R5" s="188">
        <f>VLOOKUP($A$5,$A$7:$CP$70,18,FALSE)</f>
        <v>34988</v>
      </c>
      <c r="S5" s="189">
        <f>VLOOKUP($A$5,$A$7:$CP$70,19,FALSE)</f>
        <v>5167</v>
      </c>
      <c r="T5" s="189">
        <f>VLOOKUP($A$5,$A$7:$CP$70,20,FALSE)</f>
        <v>1148</v>
      </c>
      <c r="U5" s="189">
        <f>VLOOKUP($A$5,$A$7:$CP$70,21,FALSE)</f>
        <v>1465</v>
      </c>
      <c r="V5" s="189">
        <f>VLOOKUP($A$5,$A$7:$CP$70,22,FALSE)</f>
        <v>61</v>
      </c>
      <c r="W5" s="190">
        <f>VLOOKUP($A$5,$A$7:$CP$70,23,FALSE)</f>
        <v>7841</v>
      </c>
      <c r="X5" s="188">
        <f>VLOOKUP($A$5,$A$7:$CP$70,24,FALSE)</f>
        <v>16675</v>
      </c>
      <c r="Y5" s="189">
        <f>VLOOKUP($A$5,$A$7:$CP$70,25,FALSE)</f>
        <v>2391</v>
      </c>
      <c r="Z5" s="189">
        <f>VLOOKUP($A$5,$A$7:$CP$70,26,FALSE)</f>
        <v>606</v>
      </c>
      <c r="AA5" s="189">
        <f>VLOOKUP($A$5,$A$7:$CP$70,27,FALSE)</f>
        <v>887</v>
      </c>
      <c r="AB5" s="189">
        <f>VLOOKUP($A$5,$A$7:$CP$70,28,FALSE)</f>
        <v>38</v>
      </c>
      <c r="AC5" s="191">
        <f>VLOOKUP($A$5,$A$7:$CP$70,29,FALSE)</f>
        <v>3922</v>
      </c>
      <c r="AD5" s="188">
        <f>VLOOKUP($A$5,$A$7:$CP$70,30,FALSE)</f>
        <v>18313</v>
      </c>
      <c r="AE5" s="189">
        <f>VLOOKUP($A$5,$A$7:$CP$70,31,FALSE)</f>
        <v>2776</v>
      </c>
      <c r="AF5" s="189">
        <f>VLOOKUP($A$5,$A$7:$CP$70,32,FALSE)</f>
        <v>542</v>
      </c>
      <c r="AG5" s="189">
        <f>VLOOKUP($A$5,$A$7:$CP$70,33,FALSE)</f>
        <v>578</v>
      </c>
      <c r="AH5" s="189">
        <f>VLOOKUP($A$5,$A$7:$CP$70,34,FALSE)</f>
        <v>23</v>
      </c>
      <c r="AI5" s="191">
        <f>VLOOKUP($A$5,$A$7:$CP$70,35,FALSE)</f>
        <v>3919</v>
      </c>
      <c r="AJ5" s="178">
        <f>VLOOKUP($A$5,$A$7:$CP$70,36,FALSE)</f>
        <v>0.22410540756830913</v>
      </c>
      <c r="AK5" s="179">
        <f>VLOOKUP($A$5,$A$7:$CP$70,37,FALSE)</f>
        <v>0.14640989669684989</v>
      </c>
      <c r="AL5" s="179">
        <f>VLOOKUP($A$5,$A$7:$CP$70,38,FALSE)</f>
        <v>0.18683841346766994</v>
      </c>
      <c r="AM5" s="179">
        <f>VLOOKUP($A$5,$A$7:$CP$70,39,FALSE)</f>
        <v>7.7796199464354038E-3</v>
      </c>
      <c r="AN5" s="182">
        <f>VLOOKUP($A$5,$A$7:$CP$70,40,FALSE)</f>
        <v>0.50019130212983043</v>
      </c>
      <c r="AO5" s="180">
        <f>VLOOKUP($A$5,$A$7:$CP$70,41,FALSE)</f>
        <v>0.49980869787016963</v>
      </c>
      <c r="AP5" s="192">
        <f>VLOOKUP($A$5,$A$7:$CP$70,42,FALSE)</f>
        <v>16193</v>
      </c>
      <c r="AQ5" s="189">
        <f>VLOOKUP($A$5,$A$7:$CP$70,43,FALSE)</f>
        <v>235</v>
      </c>
      <c r="AR5" s="189">
        <f>VLOOKUP($A$5,$A$7:$CP$70,44,FALSE)</f>
        <v>41</v>
      </c>
      <c r="AS5" s="189">
        <f>VLOOKUP($A$5,$A$7:$CP$70,45,FALSE)</f>
        <v>4</v>
      </c>
      <c r="AT5" s="189">
        <f>VLOOKUP($A$5,$A$7:$CP$70,46,FALSE)</f>
        <v>1696</v>
      </c>
      <c r="AU5" s="189">
        <f>VLOOKUP($A$5,$A$7:$CP$70,47,FALSE)</f>
        <v>2850</v>
      </c>
      <c r="AV5" s="189">
        <f>VLOOKUP($A$5,$A$7:$CP$70,48,FALSE)</f>
        <v>62</v>
      </c>
      <c r="AW5" s="189">
        <f>VLOOKUP($A$5,$A$7:$CP$70,49,FALSE)</f>
        <v>218</v>
      </c>
      <c r="AX5" s="189">
        <f>VLOOKUP($A$5,$A$7:$CP$70,50,FALSE)</f>
        <v>568</v>
      </c>
      <c r="AY5" s="189">
        <f>VLOOKUP($A$5,$A$7:$CP$70,51,FALSE)</f>
        <v>2528</v>
      </c>
      <c r="AZ5" s="189">
        <f>VLOOKUP($A$5,$A$7:$CP$70,52,FALSE)</f>
        <v>291</v>
      </c>
      <c r="BA5" s="189">
        <f>VLOOKUP($A$5,$A$7:$CP$70,53,FALSE)</f>
        <v>247</v>
      </c>
      <c r="BB5" s="189">
        <f>VLOOKUP($A$5,$A$7:$CP$70,54,FALSE)</f>
        <v>357</v>
      </c>
      <c r="BC5" s="189">
        <f>VLOOKUP($A$5,$A$7:$CP$70,55,FALSE)</f>
        <v>789</v>
      </c>
      <c r="BD5" s="189">
        <f>VLOOKUP($A$5,$A$7:$CP$70,56,FALSE)</f>
        <v>667</v>
      </c>
      <c r="BE5" s="189">
        <f>VLOOKUP($A$5,$A$7:$CP$70,57,FALSE)</f>
        <v>856</v>
      </c>
      <c r="BF5" s="189">
        <f>VLOOKUP($A$5,$A$7:$CP$70,58,FALSE)</f>
        <v>2725</v>
      </c>
      <c r="BG5" s="189">
        <f>VLOOKUP($A$5,$A$7:$CP$70,59,FALSE)</f>
        <v>141</v>
      </c>
      <c r="BH5" s="189">
        <f>VLOOKUP($A$5,$A$7:$CP$70,60,FALSE)</f>
        <v>978</v>
      </c>
      <c r="BI5" s="189">
        <f>VLOOKUP($A$5,$A$7:$CP$70,61,FALSE)</f>
        <v>603</v>
      </c>
      <c r="BJ5" s="178">
        <f>VLOOKUP($A$5,$A$7:$CP$70,62,FALSE)</f>
        <v>1.4512443648490088E-2</v>
      </c>
      <c r="BK5" s="179">
        <f>VLOOKUP($A$5,$A$7:$CP$70,63,FALSE)</f>
        <v>2.5319582535663558E-3</v>
      </c>
      <c r="BL5" s="179">
        <f>VLOOKUP($A$5,$A$7:$CP$70,64,FALSE)</f>
        <v>2.4702031742110787E-4</v>
      </c>
      <c r="BM5" s="179">
        <f>VLOOKUP($A$5,$A$7:$CP$70,65,FALSE)</f>
        <v>0.10473661458654974</v>
      </c>
      <c r="BN5" s="179">
        <f>VLOOKUP($A$5,$A$7:$CP$70,66,FALSE)</f>
        <v>0.17600197616253938</v>
      </c>
      <c r="BO5" s="179">
        <f>VLOOKUP($A$5,$A$7:$CP$70,67,FALSE)</f>
        <v>3.8288149200271723E-3</v>
      </c>
      <c r="BP5" s="179">
        <f>VLOOKUP($A$5,$A$7:$CP$70,68,FALSE)</f>
        <v>1.3462607299450379E-2</v>
      </c>
      <c r="BQ5" s="179">
        <f>VLOOKUP($A$5,$A$7:$CP$70,69,FALSE)</f>
        <v>3.5076885073797318E-2</v>
      </c>
      <c r="BR5" s="179">
        <f>VLOOKUP($A$5,$A$7:$CP$70,70,FALSE)</f>
        <v>0.1561168406101402</v>
      </c>
      <c r="BS5" s="179">
        <f>VLOOKUP($A$5,$A$7:$CP$70,71,FALSE)</f>
        <v>1.7970728092385597E-2</v>
      </c>
      <c r="BT5" s="179">
        <f>VLOOKUP($A$5,$A$7:$CP$70,72,FALSE)</f>
        <v>1.5253504600753412E-2</v>
      </c>
      <c r="BU5" s="179">
        <f>VLOOKUP($A$5,$A$7:$CP$70,73,FALSE)</f>
        <v>2.2046563329833877E-2</v>
      </c>
      <c r="BV5" s="179">
        <f>VLOOKUP($A$5,$A$7:$CP$70,74,FALSE)</f>
        <v>4.8724757611313528E-2</v>
      </c>
      <c r="BW5" s="179">
        <f>VLOOKUP($A$5,$A$7:$CP$70,75,FALSE)</f>
        <v>4.1190637929969742E-2</v>
      </c>
      <c r="BX5" s="179">
        <f>VLOOKUP($A$5,$A$7:$CP$70,76,FALSE)</f>
        <v>5.2862347928117087E-2</v>
      </c>
      <c r="BY5" s="179">
        <f>VLOOKUP($A$5,$A$7:$CP$70,77,FALSE)</f>
        <v>0.16828259124312975</v>
      </c>
      <c r="BZ5" s="179">
        <f>VLOOKUP($A$5,$A$7:$CP$70,78,FALSE)</f>
        <v>8.7074661890940534E-3</v>
      </c>
      <c r="CA5" s="179">
        <f>VLOOKUP($A$5,$A$7:$CP$70,79,FALSE)</f>
        <v>6.039646760946088E-2</v>
      </c>
      <c r="CB5" s="180">
        <f>VLOOKUP($A$5,$A$7:$CP$70,80,FALSE)</f>
        <v>3.7238312851232011E-2</v>
      </c>
      <c r="CC5" s="188">
        <f>VLOOKUP($A$5,$A$7:$CP$70,81,FALSE)</f>
        <v>16193</v>
      </c>
      <c r="CD5" s="190">
        <f>VLOOKUP($A$5,$A$7:$CP$70,82,FALSE)</f>
        <v>14651</v>
      </c>
      <c r="CE5" s="189">
        <f>VLOOKUP($A$5,$A$7:$CP$70,83,FALSE)</f>
        <v>1160</v>
      </c>
      <c r="CF5" s="191">
        <f>VLOOKUP($A$5,$A$7:$CP$70,84,FALSE)</f>
        <v>100</v>
      </c>
      <c r="CG5" s="188">
        <f>VLOOKUP($A$5,$A$7:$CP$70,85,FALSE)</f>
        <v>1253</v>
      </c>
      <c r="CH5" s="189">
        <f>VLOOKUP($A$5,$A$7:$CP$70,86,FALSE)</f>
        <v>1067</v>
      </c>
      <c r="CI5" s="189">
        <f>VLOOKUP($A$5,$A$7:$CP$70,87,FALSE)</f>
        <v>133</v>
      </c>
      <c r="CJ5" s="191">
        <f>VLOOKUP($A$5,$A$7:$CP$70,88,FALSE)</f>
        <v>25</v>
      </c>
      <c r="CK5" s="178">
        <f>VLOOKUP($A$5,$A$7:$CP$70,89,FALSE)</f>
        <v>0.90477366763416289</v>
      </c>
      <c r="CL5" s="179">
        <f>VLOOKUP($A$5,$A$7:$CP$70,90,FALSE)</f>
        <v>7.1635892052121286E-2</v>
      </c>
      <c r="CM5" s="180">
        <f>VLOOKUP($A$5,$A$7:$CP$70,91,FALSE)</f>
        <v>6.1755079355276972E-3</v>
      </c>
      <c r="CN5" s="178">
        <f>VLOOKUP($A$5,$A$7:$CP$70,92,FALSE)</f>
        <v>0.85155626496408621</v>
      </c>
      <c r="CO5" s="179">
        <f>VLOOKUP($A$5,$A$7:$CP$70,93,FALSE)</f>
        <v>0.10614525139664804</v>
      </c>
      <c r="CP5" s="180">
        <f>VLOOKUP($A$5,$A$7:$CP$70,94,FALSE)</f>
        <v>1.9952114924181964E-2</v>
      </c>
    </row>
    <row r="6" spans="1:94" s="242" customFormat="1" x14ac:dyDescent="0.15"/>
    <row r="7" spans="1:94" x14ac:dyDescent="0.15">
      <c r="A7" t="s">
        <v>428</v>
      </c>
      <c r="B7" t="s">
        <v>429</v>
      </c>
      <c r="C7" t="s">
        <v>430</v>
      </c>
      <c r="D7">
        <v>1559</v>
      </c>
      <c r="E7">
        <v>719</v>
      </c>
      <c r="F7">
        <v>187</v>
      </c>
      <c r="G7">
        <v>300</v>
      </c>
      <c r="H7">
        <v>0.46119307248236047</v>
      </c>
      <c r="I7">
        <v>0.11994868505452214</v>
      </c>
      <c r="J7">
        <v>0.19243104554201412</v>
      </c>
      <c r="K7">
        <v>3081</v>
      </c>
      <c r="L7">
        <v>393</v>
      </c>
      <c r="M7">
        <v>1044</v>
      </c>
      <c r="N7">
        <v>1392</v>
      </c>
      <c r="O7">
        <v>0.12755598831548198</v>
      </c>
      <c r="P7">
        <v>0.33885102239532622</v>
      </c>
      <c r="Q7">
        <v>0.45180136319376824</v>
      </c>
      <c r="R7">
        <v>3081</v>
      </c>
      <c r="S7">
        <v>339</v>
      </c>
      <c r="T7">
        <v>133</v>
      </c>
      <c r="U7">
        <v>158</v>
      </c>
      <c r="V7">
        <v>1</v>
      </c>
      <c r="W7">
        <v>631</v>
      </c>
      <c r="X7">
        <v>1489</v>
      </c>
      <c r="Y7">
        <v>149</v>
      </c>
      <c r="Z7">
        <v>85</v>
      </c>
      <c r="AA7">
        <v>98</v>
      </c>
      <c r="AB7">
        <v>0</v>
      </c>
      <c r="AC7">
        <v>332</v>
      </c>
      <c r="AD7">
        <v>1592</v>
      </c>
      <c r="AE7">
        <v>190</v>
      </c>
      <c r="AF7">
        <v>48</v>
      </c>
      <c r="AG7">
        <v>60</v>
      </c>
      <c r="AH7">
        <v>1</v>
      </c>
      <c r="AI7">
        <v>299</v>
      </c>
      <c r="AJ7">
        <v>0.20480363518338202</v>
      </c>
      <c r="AK7">
        <v>0.21077654516640254</v>
      </c>
      <c r="AL7">
        <v>0.25039619651347067</v>
      </c>
      <c r="AM7">
        <v>1.5847860538827259E-3</v>
      </c>
      <c r="AN7">
        <v>0.52614896988906501</v>
      </c>
      <c r="AO7">
        <v>0.47385103011093505</v>
      </c>
      <c r="AP7">
        <v>1541</v>
      </c>
      <c r="AQ7">
        <v>10</v>
      </c>
      <c r="AR7">
        <v>24</v>
      </c>
      <c r="AS7">
        <v>0</v>
      </c>
      <c r="AT7">
        <v>136</v>
      </c>
      <c r="AU7">
        <v>203</v>
      </c>
      <c r="AV7">
        <v>22</v>
      </c>
      <c r="AW7">
        <v>32</v>
      </c>
      <c r="AX7">
        <v>35</v>
      </c>
      <c r="AY7">
        <v>226</v>
      </c>
      <c r="AZ7">
        <v>41</v>
      </c>
      <c r="BA7">
        <v>26</v>
      </c>
      <c r="BB7">
        <v>63</v>
      </c>
      <c r="BC7">
        <v>162</v>
      </c>
      <c r="BD7">
        <v>66</v>
      </c>
      <c r="BE7">
        <v>83</v>
      </c>
      <c r="BF7">
        <v>207</v>
      </c>
      <c r="BG7">
        <v>14</v>
      </c>
      <c r="BH7">
        <v>80</v>
      </c>
      <c r="BI7">
        <v>80</v>
      </c>
      <c r="BJ7">
        <v>6.4892926670992862E-3</v>
      </c>
      <c r="BK7">
        <v>1.5574302401038288E-2</v>
      </c>
      <c r="BL7">
        <v>0</v>
      </c>
      <c r="BM7">
        <v>8.8254380272550295E-2</v>
      </c>
      <c r="BN7">
        <v>0.1317326411421155</v>
      </c>
      <c r="BO7">
        <v>1.427644386761843E-2</v>
      </c>
      <c r="BP7">
        <v>2.0765736534717714E-2</v>
      </c>
      <c r="BQ7">
        <v>2.2712524334847502E-2</v>
      </c>
      <c r="BR7">
        <v>0.14665801427644387</v>
      </c>
      <c r="BS7">
        <v>2.6606099935107073E-2</v>
      </c>
      <c r="BT7">
        <v>1.6872160934458143E-2</v>
      </c>
      <c r="BU7">
        <v>4.0882543802725504E-2</v>
      </c>
      <c r="BV7">
        <v>0.10512654120700844</v>
      </c>
      <c r="BW7">
        <v>4.2829331602855292E-2</v>
      </c>
      <c r="BX7">
        <v>5.3861129136924077E-2</v>
      </c>
      <c r="BY7">
        <v>0.13432835820895522</v>
      </c>
      <c r="BZ7">
        <v>9.0850097339390014E-3</v>
      </c>
      <c r="CA7">
        <v>5.191434133679429E-2</v>
      </c>
      <c r="CB7">
        <v>5.191434133679429E-2</v>
      </c>
      <c r="CC7">
        <v>1541</v>
      </c>
      <c r="CD7">
        <v>1452</v>
      </c>
      <c r="CE7">
        <v>56</v>
      </c>
      <c r="CF7">
        <v>3</v>
      </c>
      <c r="CG7">
        <v>109</v>
      </c>
      <c r="CH7">
        <v>96</v>
      </c>
      <c r="CI7">
        <v>8</v>
      </c>
      <c r="CJ7">
        <v>3</v>
      </c>
      <c r="CK7">
        <v>0.94224529526281631</v>
      </c>
      <c r="CL7">
        <v>3.6340038935756006E-2</v>
      </c>
      <c r="CM7">
        <v>1.9467878001297859E-3</v>
      </c>
      <c r="CN7">
        <v>0.88073394495412849</v>
      </c>
      <c r="CO7">
        <v>7.3394495412844041E-2</v>
      </c>
      <c r="CP7">
        <v>2.7522935779816515E-2</v>
      </c>
    </row>
    <row r="8" spans="1:94" x14ac:dyDescent="0.15">
      <c r="A8" t="s">
        <v>431</v>
      </c>
      <c r="B8" t="s">
        <v>429</v>
      </c>
      <c r="C8" t="s">
        <v>432</v>
      </c>
      <c r="D8">
        <v>7976</v>
      </c>
      <c r="E8">
        <v>3748</v>
      </c>
      <c r="F8">
        <v>1133</v>
      </c>
      <c r="G8">
        <v>1384</v>
      </c>
      <c r="H8">
        <v>0.46990972918756269</v>
      </c>
      <c r="I8">
        <v>0.14205115346038114</v>
      </c>
      <c r="J8">
        <v>0.17352056168505517</v>
      </c>
      <c r="K8">
        <v>17277</v>
      </c>
      <c r="L8">
        <v>1540</v>
      </c>
      <c r="M8">
        <v>6906</v>
      </c>
      <c r="N8">
        <v>7869</v>
      </c>
      <c r="O8">
        <v>8.9135845343520287E-2</v>
      </c>
      <c r="P8">
        <v>0.39972217398853965</v>
      </c>
      <c r="Q8">
        <v>0.45546101753776697</v>
      </c>
      <c r="R8">
        <v>17277</v>
      </c>
      <c r="S8">
        <v>3110</v>
      </c>
      <c r="T8">
        <v>571</v>
      </c>
      <c r="U8">
        <v>712</v>
      </c>
      <c r="V8">
        <v>60</v>
      </c>
      <c r="W8">
        <v>4453</v>
      </c>
      <c r="X8">
        <v>8037</v>
      </c>
      <c r="Y8">
        <v>1351</v>
      </c>
      <c r="Z8">
        <v>289</v>
      </c>
      <c r="AA8">
        <v>409</v>
      </c>
      <c r="AB8">
        <v>43</v>
      </c>
      <c r="AC8">
        <v>2092</v>
      </c>
      <c r="AD8">
        <v>9240</v>
      </c>
      <c r="AE8">
        <v>1759</v>
      </c>
      <c r="AF8">
        <v>282</v>
      </c>
      <c r="AG8">
        <v>303</v>
      </c>
      <c r="AH8">
        <v>17</v>
      </c>
      <c r="AI8">
        <v>2361</v>
      </c>
      <c r="AJ8">
        <v>0.25774150604850377</v>
      </c>
      <c r="AK8">
        <v>0.12822816079047833</v>
      </c>
      <c r="AL8">
        <v>0.15989220750056141</v>
      </c>
      <c r="AM8">
        <v>1.3474062429822591E-2</v>
      </c>
      <c r="AN8">
        <v>0.469795643386481</v>
      </c>
      <c r="AO8">
        <v>0.53020435661351895</v>
      </c>
      <c r="AP8">
        <v>7935</v>
      </c>
      <c r="AQ8">
        <v>120</v>
      </c>
      <c r="AR8">
        <v>23</v>
      </c>
      <c r="AS8">
        <v>1</v>
      </c>
      <c r="AT8">
        <v>799</v>
      </c>
      <c r="AU8">
        <v>1378</v>
      </c>
      <c r="AV8">
        <v>39</v>
      </c>
      <c r="AW8">
        <v>92</v>
      </c>
      <c r="AX8">
        <v>250</v>
      </c>
      <c r="AY8">
        <v>1263</v>
      </c>
      <c r="AZ8">
        <v>141</v>
      </c>
      <c r="BA8">
        <v>130</v>
      </c>
      <c r="BB8">
        <v>203</v>
      </c>
      <c r="BC8">
        <v>476</v>
      </c>
      <c r="BD8">
        <v>300</v>
      </c>
      <c r="BE8">
        <v>460</v>
      </c>
      <c r="BF8">
        <v>1231</v>
      </c>
      <c r="BG8">
        <v>87</v>
      </c>
      <c r="BH8">
        <v>470</v>
      </c>
      <c r="BI8">
        <v>318</v>
      </c>
      <c r="BJ8">
        <v>1.5122873345935728E-2</v>
      </c>
      <c r="BK8">
        <v>2.8985507246376812E-3</v>
      </c>
      <c r="BL8">
        <v>1.260239445494644E-4</v>
      </c>
      <c r="BM8">
        <v>0.10069313169502206</v>
      </c>
      <c r="BN8">
        <v>0.17366099558916195</v>
      </c>
      <c r="BO8">
        <v>4.9149338374291111E-3</v>
      </c>
      <c r="BP8">
        <v>1.1594202898550725E-2</v>
      </c>
      <c r="BQ8">
        <v>3.1505986137366097E-2</v>
      </c>
      <c r="BR8">
        <v>0.15916824196597354</v>
      </c>
      <c r="BS8">
        <v>1.7769376181474481E-2</v>
      </c>
      <c r="BT8">
        <v>1.6383112791430371E-2</v>
      </c>
      <c r="BU8">
        <v>2.5582860743541273E-2</v>
      </c>
      <c r="BV8">
        <v>5.9987397605545056E-2</v>
      </c>
      <c r="BW8">
        <v>3.780718336483932E-2</v>
      </c>
      <c r="BX8">
        <v>5.7971014492753624E-2</v>
      </c>
      <c r="BY8">
        <v>0.15513547574039066</v>
      </c>
      <c r="BZ8">
        <v>1.0964083175803403E-2</v>
      </c>
      <c r="CA8">
        <v>5.9231253938248268E-2</v>
      </c>
      <c r="CB8">
        <v>4.0075614366729677E-2</v>
      </c>
      <c r="CC8">
        <v>7935</v>
      </c>
      <c r="CD8">
        <v>7315</v>
      </c>
      <c r="CE8">
        <v>446</v>
      </c>
      <c r="CF8">
        <v>40</v>
      </c>
      <c r="CG8">
        <v>624</v>
      </c>
      <c r="CH8">
        <v>545</v>
      </c>
      <c r="CI8">
        <v>56</v>
      </c>
      <c r="CJ8">
        <v>12</v>
      </c>
      <c r="CK8">
        <v>0.92186515437933203</v>
      </c>
      <c r="CL8">
        <v>5.6206679269061123E-2</v>
      </c>
      <c r="CM8">
        <v>5.0409577819785761E-3</v>
      </c>
      <c r="CN8">
        <v>0.8733974358974359</v>
      </c>
      <c r="CO8">
        <v>8.9743589743589744E-2</v>
      </c>
      <c r="CP8">
        <v>1.9230769230769232E-2</v>
      </c>
    </row>
    <row r="9" spans="1:94" x14ac:dyDescent="0.15">
      <c r="A9" t="s">
        <v>433</v>
      </c>
      <c r="B9" t="s">
        <v>429</v>
      </c>
      <c r="C9" t="s">
        <v>434</v>
      </c>
      <c r="D9">
        <v>15557</v>
      </c>
      <c r="E9">
        <v>6993</v>
      </c>
      <c r="F9">
        <v>2140</v>
      </c>
      <c r="G9">
        <v>2374</v>
      </c>
      <c r="H9">
        <v>0.4495082599472906</v>
      </c>
      <c r="I9">
        <v>0.13755865526772515</v>
      </c>
      <c r="J9">
        <v>0.15260011570354182</v>
      </c>
      <c r="K9">
        <v>34988</v>
      </c>
      <c r="L9">
        <v>3175</v>
      </c>
      <c r="M9">
        <v>13018</v>
      </c>
      <c r="N9">
        <v>16681</v>
      </c>
      <c r="O9">
        <v>9.0745398422316229E-2</v>
      </c>
      <c r="P9">
        <v>0.3720704241454213</v>
      </c>
      <c r="Q9">
        <v>0.47676346175831713</v>
      </c>
      <c r="R9">
        <v>34988</v>
      </c>
      <c r="S9">
        <v>5167</v>
      </c>
      <c r="T9">
        <v>1148</v>
      </c>
      <c r="U9">
        <v>1465</v>
      </c>
      <c r="V9">
        <v>61</v>
      </c>
      <c r="W9">
        <v>7841</v>
      </c>
      <c r="X9">
        <v>16675</v>
      </c>
      <c r="Y9">
        <v>2391</v>
      </c>
      <c r="Z9">
        <v>606</v>
      </c>
      <c r="AA9">
        <v>887</v>
      </c>
      <c r="AB9">
        <v>38</v>
      </c>
      <c r="AC9">
        <v>3922</v>
      </c>
      <c r="AD9">
        <v>18313</v>
      </c>
      <c r="AE9">
        <v>2776</v>
      </c>
      <c r="AF9">
        <v>542</v>
      </c>
      <c r="AG9">
        <v>578</v>
      </c>
      <c r="AH9">
        <v>23</v>
      </c>
      <c r="AI9">
        <v>3919</v>
      </c>
      <c r="AJ9">
        <v>0.22410540756830913</v>
      </c>
      <c r="AK9">
        <v>0.14640989669684989</v>
      </c>
      <c r="AL9">
        <v>0.18683841346766994</v>
      </c>
      <c r="AM9">
        <v>7.7796199464354038E-3</v>
      </c>
      <c r="AN9">
        <v>0.50019130212983043</v>
      </c>
      <c r="AO9">
        <v>0.49980869787016963</v>
      </c>
      <c r="AP9">
        <v>16193</v>
      </c>
      <c r="AQ9">
        <v>235</v>
      </c>
      <c r="AR9">
        <v>41</v>
      </c>
      <c r="AS9">
        <v>4</v>
      </c>
      <c r="AT9">
        <v>1696</v>
      </c>
      <c r="AU9">
        <v>2850</v>
      </c>
      <c r="AV9">
        <v>62</v>
      </c>
      <c r="AW9">
        <v>218</v>
      </c>
      <c r="AX9">
        <v>568</v>
      </c>
      <c r="AY9">
        <v>2528</v>
      </c>
      <c r="AZ9">
        <v>291</v>
      </c>
      <c r="BA9">
        <v>247</v>
      </c>
      <c r="BB9">
        <v>357</v>
      </c>
      <c r="BC9">
        <v>789</v>
      </c>
      <c r="BD9">
        <v>667</v>
      </c>
      <c r="BE9">
        <v>856</v>
      </c>
      <c r="BF9">
        <v>2725</v>
      </c>
      <c r="BG9">
        <v>141</v>
      </c>
      <c r="BH9">
        <v>978</v>
      </c>
      <c r="BI9">
        <v>603</v>
      </c>
      <c r="BJ9">
        <v>1.4512443648490088E-2</v>
      </c>
      <c r="BK9">
        <v>2.5319582535663558E-3</v>
      </c>
      <c r="BL9">
        <v>2.4702031742110787E-4</v>
      </c>
      <c r="BM9">
        <v>0.10473661458654974</v>
      </c>
      <c r="BN9">
        <v>0.17600197616253938</v>
      </c>
      <c r="BO9">
        <v>3.8288149200271723E-3</v>
      </c>
      <c r="BP9">
        <v>1.3462607299450379E-2</v>
      </c>
      <c r="BQ9">
        <v>3.5076885073797318E-2</v>
      </c>
      <c r="BR9">
        <v>0.1561168406101402</v>
      </c>
      <c r="BS9">
        <v>1.7970728092385597E-2</v>
      </c>
      <c r="BT9">
        <v>1.5253504600753412E-2</v>
      </c>
      <c r="BU9">
        <v>2.2046563329833877E-2</v>
      </c>
      <c r="BV9">
        <v>4.8724757611313528E-2</v>
      </c>
      <c r="BW9">
        <v>4.1190637929969742E-2</v>
      </c>
      <c r="BX9">
        <v>5.2862347928117087E-2</v>
      </c>
      <c r="BY9">
        <v>0.16828259124312975</v>
      </c>
      <c r="BZ9">
        <v>8.7074661890940534E-3</v>
      </c>
      <c r="CA9">
        <v>6.039646760946088E-2</v>
      </c>
      <c r="CB9">
        <v>3.7238312851232011E-2</v>
      </c>
      <c r="CC9">
        <v>16193</v>
      </c>
      <c r="CD9">
        <v>14651</v>
      </c>
      <c r="CE9">
        <v>1160</v>
      </c>
      <c r="CF9">
        <v>100</v>
      </c>
      <c r="CG9">
        <v>1253</v>
      </c>
      <c r="CH9">
        <v>1067</v>
      </c>
      <c r="CI9">
        <v>133</v>
      </c>
      <c r="CJ9">
        <v>25</v>
      </c>
      <c r="CK9">
        <v>0.90477366763416289</v>
      </c>
      <c r="CL9">
        <v>7.1635892052121286E-2</v>
      </c>
      <c r="CM9">
        <v>6.1755079355276972E-3</v>
      </c>
      <c r="CN9">
        <v>0.85155626496408621</v>
      </c>
      <c r="CO9">
        <v>0.10614525139664804</v>
      </c>
      <c r="CP9">
        <v>1.9952114924181964E-2</v>
      </c>
    </row>
    <row r="10" spans="1:94" x14ac:dyDescent="0.15">
      <c r="A10" t="s">
        <v>435</v>
      </c>
      <c r="B10" t="s">
        <v>429</v>
      </c>
      <c r="C10" t="s">
        <v>436</v>
      </c>
      <c r="D10">
        <v>6401</v>
      </c>
      <c r="E10">
        <v>3590</v>
      </c>
      <c r="F10">
        <v>1174</v>
      </c>
      <c r="G10">
        <v>980</v>
      </c>
      <c r="H10">
        <v>0.5608498672082487</v>
      </c>
      <c r="I10">
        <v>0.18340884236837995</v>
      </c>
      <c r="J10">
        <v>0.1531010779565693</v>
      </c>
      <c r="K10">
        <v>15949</v>
      </c>
      <c r="L10">
        <v>1769</v>
      </c>
      <c r="M10">
        <v>4878</v>
      </c>
      <c r="N10">
        <v>8593</v>
      </c>
      <c r="O10">
        <v>0.11091604489309674</v>
      </c>
      <c r="P10">
        <v>0.30584989654523792</v>
      </c>
      <c r="Q10">
        <v>0.53877986080632012</v>
      </c>
      <c r="R10">
        <v>15949</v>
      </c>
      <c r="S10">
        <v>2041</v>
      </c>
      <c r="T10">
        <v>378</v>
      </c>
      <c r="U10">
        <v>493</v>
      </c>
      <c r="V10">
        <v>50</v>
      </c>
      <c r="W10">
        <v>2962</v>
      </c>
      <c r="X10">
        <v>7600</v>
      </c>
      <c r="Y10">
        <v>929</v>
      </c>
      <c r="Z10">
        <v>207</v>
      </c>
      <c r="AA10">
        <v>310</v>
      </c>
      <c r="AB10">
        <v>25</v>
      </c>
      <c r="AC10">
        <v>1471</v>
      </c>
      <c r="AD10">
        <v>8349</v>
      </c>
      <c r="AE10">
        <v>1112</v>
      </c>
      <c r="AF10">
        <v>171</v>
      </c>
      <c r="AG10">
        <v>183</v>
      </c>
      <c r="AH10">
        <v>25</v>
      </c>
      <c r="AI10">
        <v>1491</v>
      </c>
      <c r="AJ10">
        <v>0.18571697285096245</v>
      </c>
      <c r="AK10">
        <v>0.12761647535449022</v>
      </c>
      <c r="AL10">
        <v>0.16644159351789331</v>
      </c>
      <c r="AM10">
        <v>1.6880486158001352E-2</v>
      </c>
      <c r="AN10">
        <v>0.49662390276839974</v>
      </c>
      <c r="AO10">
        <v>0.50337609723160026</v>
      </c>
      <c r="AP10">
        <v>7002</v>
      </c>
      <c r="AQ10">
        <v>244</v>
      </c>
      <c r="AR10">
        <v>58</v>
      </c>
      <c r="AS10">
        <v>2</v>
      </c>
      <c r="AT10">
        <v>821</v>
      </c>
      <c r="AU10">
        <v>1366</v>
      </c>
      <c r="AV10">
        <v>23</v>
      </c>
      <c r="AW10">
        <v>53</v>
      </c>
      <c r="AX10">
        <v>279</v>
      </c>
      <c r="AY10">
        <v>1043</v>
      </c>
      <c r="AZ10">
        <v>114</v>
      </c>
      <c r="BA10">
        <v>103</v>
      </c>
      <c r="BB10">
        <v>151</v>
      </c>
      <c r="BC10">
        <v>270</v>
      </c>
      <c r="BD10">
        <v>245</v>
      </c>
      <c r="BE10">
        <v>262</v>
      </c>
      <c r="BF10">
        <v>1136</v>
      </c>
      <c r="BG10">
        <v>66</v>
      </c>
      <c r="BH10">
        <v>434</v>
      </c>
      <c r="BI10">
        <v>190</v>
      </c>
      <c r="BJ10">
        <v>3.4847186518137674E-2</v>
      </c>
      <c r="BK10">
        <v>8.2833476149671518E-3</v>
      </c>
      <c r="BL10">
        <v>2.8563267637817766E-4</v>
      </c>
      <c r="BM10">
        <v>0.11725221365324193</v>
      </c>
      <c r="BN10">
        <v>0.19508711796629535</v>
      </c>
      <c r="BO10">
        <v>3.284775778349043E-3</v>
      </c>
      <c r="BP10">
        <v>7.5692659240217085E-3</v>
      </c>
      <c r="BQ10">
        <v>3.9845758354755782E-2</v>
      </c>
      <c r="BR10">
        <v>0.14895744073121966</v>
      </c>
      <c r="BS10">
        <v>1.6281062553556127E-2</v>
      </c>
      <c r="BT10">
        <v>1.471008283347615E-2</v>
      </c>
      <c r="BU10">
        <v>2.1565267066552412E-2</v>
      </c>
      <c r="BV10">
        <v>3.8560411311053984E-2</v>
      </c>
      <c r="BW10">
        <v>3.4990002856326766E-2</v>
      </c>
      <c r="BX10">
        <v>3.741788060554127E-2</v>
      </c>
      <c r="BY10">
        <v>0.16223936018280491</v>
      </c>
      <c r="BZ10">
        <v>9.4258783204798635E-3</v>
      </c>
      <c r="CA10">
        <v>6.1982290774064551E-2</v>
      </c>
      <c r="CB10">
        <v>2.7135104255926877E-2</v>
      </c>
      <c r="CC10">
        <v>7002</v>
      </c>
      <c r="CD10">
        <v>6487</v>
      </c>
      <c r="CE10">
        <v>340</v>
      </c>
      <c r="CF10">
        <v>53</v>
      </c>
      <c r="CG10">
        <v>837</v>
      </c>
      <c r="CH10">
        <v>756</v>
      </c>
      <c r="CI10">
        <v>51</v>
      </c>
      <c r="CJ10">
        <v>7</v>
      </c>
      <c r="CK10">
        <v>0.92644958583261927</v>
      </c>
      <c r="CL10">
        <v>4.8557554984290201E-2</v>
      </c>
      <c r="CM10">
        <v>7.5692659240217085E-3</v>
      </c>
      <c r="CN10">
        <v>0.90322580645161288</v>
      </c>
      <c r="CO10">
        <v>6.093189964157706E-2</v>
      </c>
      <c r="CP10">
        <v>8.3632019115890081E-3</v>
      </c>
    </row>
    <row r="11" spans="1:94" x14ac:dyDescent="0.15">
      <c r="A11" t="s">
        <v>437</v>
      </c>
      <c r="B11" t="s">
        <v>429</v>
      </c>
      <c r="C11" t="s">
        <v>438</v>
      </c>
      <c r="D11">
        <v>6587</v>
      </c>
      <c r="E11">
        <v>3609</v>
      </c>
      <c r="F11">
        <v>1183</v>
      </c>
      <c r="G11">
        <v>1136</v>
      </c>
      <c r="H11">
        <v>0.54789737361469559</v>
      </c>
      <c r="I11">
        <v>0.17959617428267799</v>
      </c>
      <c r="J11">
        <v>0.17246090784879309</v>
      </c>
      <c r="K11">
        <v>16136</v>
      </c>
      <c r="L11">
        <v>1587</v>
      </c>
      <c r="M11">
        <v>5504</v>
      </c>
      <c r="N11">
        <v>8451</v>
      </c>
      <c r="O11">
        <v>9.8351512146752598E-2</v>
      </c>
      <c r="P11">
        <v>0.34110064452156669</v>
      </c>
      <c r="Q11">
        <v>0.52373574615765994</v>
      </c>
      <c r="R11">
        <v>16136</v>
      </c>
      <c r="S11">
        <v>2374</v>
      </c>
      <c r="T11">
        <v>441</v>
      </c>
      <c r="U11">
        <v>279</v>
      </c>
      <c r="V11">
        <v>37</v>
      </c>
      <c r="W11">
        <v>3131</v>
      </c>
      <c r="X11">
        <v>7516</v>
      </c>
      <c r="Y11">
        <v>992</v>
      </c>
      <c r="Z11">
        <v>212</v>
      </c>
      <c r="AA11">
        <v>152</v>
      </c>
      <c r="AB11">
        <v>13</v>
      </c>
      <c r="AC11">
        <v>1369</v>
      </c>
      <c r="AD11">
        <v>8620</v>
      </c>
      <c r="AE11">
        <v>1382</v>
      </c>
      <c r="AF11">
        <v>229</v>
      </c>
      <c r="AG11">
        <v>127</v>
      </c>
      <c r="AH11">
        <v>24</v>
      </c>
      <c r="AI11">
        <v>1762</v>
      </c>
      <c r="AJ11">
        <v>0.19403817550818048</v>
      </c>
      <c r="AK11">
        <v>0.14084956882785052</v>
      </c>
      <c r="AL11">
        <v>8.9108910891089105E-2</v>
      </c>
      <c r="AM11">
        <v>1.1817310763334398E-2</v>
      </c>
      <c r="AN11">
        <v>0.43724049824337274</v>
      </c>
      <c r="AO11">
        <v>0.56275950175662726</v>
      </c>
      <c r="AP11">
        <v>7168</v>
      </c>
      <c r="AQ11">
        <v>111</v>
      </c>
      <c r="AR11">
        <v>86</v>
      </c>
      <c r="AS11">
        <v>0</v>
      </c>
      <c r="AT11">
        <v>883</v>
      </c>
      <c r="AU11">
        <v>1228</v>
      </c>
      <c r="AV11">
        <v>14</v>
      </c>
      <c r="AW11">
        <v>63</v>
      </c>
      <c r="AX11">
        <v>296</v>
      </c>
      <c r="AY11">
        <v>1174</v>
      </c>
      <c r="AZ11">
        <v>93</v>
      </c>
      <c r="BA11">
        <v>89</v>
      </c>
      <c r="BB11">
        <v>141</v>
      </c>
      <c r="BC11">
        <v>319</v>
      </c>
      <c r="BD11">
        <v>253</v>
      </c>
      <c r="BE11">
        <v>307</v>
      </c>
      <c r="BF11">
        <v>1330</v>
      </c>
      <c r="BG11">
        <v>76</v>
      </c>
      <c r="BH11">
        <v>405</v>
      </c>
      <c r="BI11">
        <v>169</v>
      </c>
      <c r="BJ11">
        <v>1.5485491071428572E-2</v>
      </c>
      <c r="BK11">
        <v>1.1997767857142858E-2</v>
      </c>
      <c r="BL11">
        <v>0</v>
      </c>
      <c r="BM11">
        <v>0.12318638392857142</v>
      </c>
      <c r="BN11">
        <v>0.17131696428571427</v>
      </c>
      <c r="BO11">
        <v>1.953125E-3</v>
      </c>
      <c r="BP11">
        <v>8.7890625E-3</v>
      </c>
      <c r="BQ11">
        <v>4.1294642857142856E-2</v>
      </c>
      <c r="BR11">
        <v>0.16378348214285715</v>
      </c>
      <c r="BS11">
        <v>1.2974330357142858E-2</v>
      </c>
      <c r="BT11">
        <v>1.2416294642857142E-2</v>
      </c>
      <c r="BU11">
        <v>1.9670758928571428E-2</v>
      </c>
      <c r="BV11">
        <v>4.4503348214285712E-2</v>
      </c>
      <c r="BW11">
        <v>3.5295758928571432E-2</v>
      </c>
      <c r="BX11">
        <v>4.2829241071428568E-2</v>
      </c>
      <c r="BY11">
        <v>0.185546875</v>
      </c>
      <c r="BZ11">
        <v>1.0602678571428572E-2</v>
      </c>
      <c r="CA11">
        <v>5.6501116071428568E-2</v>
      </c>
      <c r="CB11">
        <v>2.3577008928571428E-2</v>
      </c>
      <c r="CC11">
        <v>7168</v>
      </c>
      <c r="CD11">
        <v>5981</v>
      </c>
      <c r="CE11">
        <v>1027</v>
      </c>
      <c r="CF11">
        <v>49</v>
      </c>
      <c r="CG11">
        <v>568</v>
      </c>
      <c r="CH11">
        <v>426</v>
      </c>
      <c r="CI11">
        <v>119</v>
      </c>
      <c r="CJ11">
        <v>11</v>
      </c>
      <c r="CK11">
        <v>0.8344029017857143</v>
      </c>
      <c r="CL11">
        <v>0.14327566964285715</v>
      </c>
      <c r="CM11">
        <v>6.8359375E-3</v>
      </c>
      <c r="CN11">
        <v>0.75</v>
      </c>
      <c r="CO11">
        <v>0.20950704225352113</v>
      </c>
      <c r="CP11">
        <v>1.936619718309859E-2</v>
      </c>
    </row>
    <row r="12" spans="1:94" x14ac:dyDescent="0.15">
      <c r="A12" t="s">
        <v>439</v>
      </c>
      <c r="B12" t="s">
        <v>429</v>
      </c>
      <c r="C12" t="s">
        <v>440</v>
      </c>
      <c r="D12">
        <v>8881</v>
      </c>
      <c r="E12">
        <v>3893</v>
      </c>
      <c r="F12">
        <v>1196</v>
      </c>
      <c r="G12">
        <v>1164</v>
      </c>
      <c r="H12">
        <v>0.43835153698907781</v>
      </c>
      <c r="I12">
        <v>0.13466951919828848</v>
      </c>
      <c r="J12">
        <v>0.13106632136020718</v>
      </c>
      <c r="K12">
        <v>20001</v>
      </c>
      <c r="L12">
        <v>2052</v>
      </c>
      <c r="M12">
        <v>7283</v>
      </c>
      <c r="N12">
        <v>9463</v>
      </c>
      <c r="O12">
        <v>0.10259487025648717</v>
      </c>
      <c r="P12">
        <v>0.36413179341032947</v>
      </c>
      <c r="Q12">
        <v>0.47312634368281586</v>
      </c>
      <c r="R12">
        <v>20001</v>
      </c>
      <c r="S12">
        <v>2623</v>
      </c>
      <c r="T12">
        <v>786</v>
      </c>
      <c r="U12">
        <v>998</v>
      </c>
      <c r="V12">
        <v>26</v>
      </c>
      <c r="W12">
        <v>4433</v>
      </c>
      <c r="X12">
        <v>9572</v>
      </c>
      <c r="Y12">
        <v>1188</v>
      </c>
      <c r="Z12">
        <v>419</v>
      </c>
      <c r="AA12">
        <v>525</v>
      </c>
      <c r="AB12">
        <v>12</v>
      </c>
      <c r="AC12">
        <v>2144</v>
      </c>
      <c r="AD12">
        <v>10429</v>
      </c>
      <c r="AE12">
        <v>1435</v>
      </c>
      <c r="AF12">
        <v>367</v>
      </c>
      <c r="AG12">
        <v>473</v>
      </c>
      <c r="AH12">
        <v>14</v>
      </c>
      <c r="AI12">
        <v>2289</v>
      </c>
      <c r="AJ12">
        <v>0.2216389180540973</v>
      </c>
      <c r="AK12">
        <v>0.17730656440333858</v>
      </c>
      <c r="AL12">
        <v>0.22512970900067675</v>
      </c>
      <c r="AM12">
        <v>5.8651026392961877E-3</v>
      </c>
      <c r="AN12">
        <v>0.48364538687119335</v>
      </c>
      <c r="AO12">
        <v>0.51635461312880671</v>
      </c>
      <c r="AP12">
        <v>9181</v>
      </c>
      <c r="AQ12">
        <v>330</v>
      </c>
      <c r="AR12">
        <v>18</v>
      </c>
      <c r="AS12">
        <v>2</v>
      </c>
      <c r="AT12">
        <v>1058</v>
      </c>
      <c r="AU12">
        <v>1349</v>
      </c>
      <c r="AV12">
        <v>49</v>
      </c>
      <c r="AW12">
        <v>112</v>
      </c>
      <c r="AX12">
        <v>292</v>
      </c>
      <c r="AY12">
        <v>1319</v>
      </c>
      <c r="AZ12">
        <v>171</v>
      </c>
      <c r="BA12">
        <v>153</v>
      </c>
      <c r="BB12">
        <v>231</v>
      </c>
      <c r="BC12">
        <v>417</v>
      </c>
      <c r="BD12">
        <v>304</v>
      </c>
      <c r="BE12">
        <v>507</v>
      </c>
      <c r="BF12">
        <v>1582</v>
      </c>
      <c r="BG12">
        <v>109</v>
      </c>
      <c r="BH12">
        <v>611</v>
      </c>
      <c r="BI12">
        <v>413</v>
      </c>
      <c r="BJ12">
        <v>3.5943796972007405E-2</v>
      </c>
      <c r="BK12">
        <v>1.9605707439276769E-3</v>
      </c>
      <c r="BL12">
        <v>2.1784119376974185E-4</v>
      </c>
      <c r="BM12">
        <v>0.11523799150419345</v>
      </c>
      <c r="BN12">
        <v>0.14693388519769088</v>
      </c>
      <c r="BO12">
        <v>5.3371092473586757E-3</v>
      </c>
      <c r="BP12">
        <v>1.2199106851105545E-2</v>
      </c>
      <c r="BQ12">
        <v>3.1804814290382309E-2</v>
      </c>
      <c r="BR12">
        <v>0.14366626729114476</v>
      </c>
      <c r="BS12">
        <v>1.8625422067312929E-2</v>
      </c>
      <c r="BT12">
        <v>1.666485132338525E-2</v>
      </c>
      <c r="BU12">
        <v>2.5160657880405186E-2</v>
      </c>
      <c r="BV12">
        <v>4.5419888900991176E-2</v>
      </c>
      <c r="BW12">
        <v>3.3111861453000761E-2</v>
      </c>
      <c r="BX12">
        <v>5.522274262062956E-2</v>
      </c>
      <c r="BY12">
        <v>0.17231238427186582</v>
      </c>
      <c r="BZ12">
        <v>1.1872345060450932E-2</v>
      </c>
      <c r="CA12">
        <v>6.6550484696656143E-2</v>
      </c>
      <c r="CB12">
        <v>4.4984206513451697E-2</v>
      </c>
      <c r="CC12">
        <v>9181</v>
      </c>
      <c r="CD12">
        <v>8401</v>
      </c>
      <c r="CE12">
        <v>569</v>
      </c>
      <c r="CF12">
        <v>75</v>
      </c>
      <c r="CG12">
        <v>1269</v>
      </c>
      <c r="CH12">
        <v>1185</v>
      </c>
      <c r="CI12">
        <v>54</v>
      </c>
      <c r="CJ12">
        <v>11</v>
      </c>
      <c r="CK12">
        <v>0.91504193442980064</v>
      </c>
      <c r="CL12">
        <v>6.197581962749156E-2</v>
      </c>
      <c r="CM12">
        <v>8.1690447663653205E-3</v>
      </c>
      <c r="CN12">
        <v>0.93380614657210403</v>
      </c>
      <c r="CO12">
        <v>4.2553191489361701E-2</v>
      </c>
      <c r="CP12">
        <v>8.6682427107959027E-3</v>
      </c>
    </row>
    <row r="13" spans="1:94" x14ac:dyDescent="0.15">
      <c r="A13" t="s">
        <v>441</v>
      </c>
      <c r="B13" t="s">
        <v>429</v>
      </c>
      <c r="C13" t="s">
        <v>442</v>
      </c>
      <c r="D13">
        <v>665</v>
      </c>
      <c r="E13">
        <v>472</v>
      </c>
      <c r="F13">
        <v>160</v>
      </c>
      <c r="G13">
        <v>148</v>
      </c>
      <c r="H13">
        <v>0.70977443609022561</v>
      </c>
      <c r="I13">
        <v>0.24060150375939848</v>
      </c>
      <c r="J13">
        <v>0.22255639097744362</v>
      </c>
      <c r="K13">
        <v>1360</v>
      </c>
      <c r="L13">
        <v>270</v>
      </c>
      <c r="M13">
        <v>238</v>
      </c>
      <c r="N13">
        <v>835</v>
      </c>
      <c r="O13">
        <v>0.19852941176470587</v>
      </c>
      <c r="P13">
        <v>0.17499999999999999</v>
      </c>
      <c r="Q13">
        <v>0.61397058823529416</v>
      </c>
      <c r="R13">
        <v>1360</v>
      </c>
      <c r="S13">
        <v>68</v>
      </c>
      <c r="T13">
        <v>24</v>
      </c>
      <c r="U13">
        <v>28</v>
      </c>
      <c r="V13">
        <v>29</v>
      </c>
      <c r="W13">
        <v>149</v>
      </c>
      <c r="X13">
        <v>678</v>
      </c>
      <c r="Y13">
        <v>35</v>
      </c>
      <c r="Z13">
        <v>12</v>
      </c>
      <c r="AA13">
        <v>13</v>
      </c>
      <c r="AB13">
        <v>26</v>
      </c>
      <c r="AC13">
        <v>86</v>
      </c>
      <c r="AD13">
        <v>682</v>
      </c>
      <c r="AE13">
        <v>33</v>
      </c>
      <c r="AF13">
        <v>12</v>
      </c>
      <c r="AG13">
        <v>15</v>
      </c>
      <c r="AH13">
        <v>3</v>
      </c>
      <c r="AI13">
        <v>63</v>
      </c>
      <c r="AJ13">
        <v>0.10955882352941176</v>
      </c>
      <c r="AK13">
        <v>0.16107382550335569</v>
      </c>
      <c r="AL13">
        <v>0.18791946308724833</v>
      </c>
      <c r="AM13">
        <v>0.19463087248322147</v>
      </c>
      <c r="AN13">
        <v>0.57718120805369133</v>
      </c>
      <c r="AO13">
        <v>0.42281879194630873</v>
      </c>
      <c r="AP13">
        <v>667</v>
      </c>
      <c r="AQ13">
        <v>16</v>
      </c>
      <c r="AR13">
        <v>198</v>
      </c>
      <c r="AS13">
        <v>0</v>
      </c>
      <c r="AT13">
        <v>38</v>
      </c>
      <c r="AU13">
        <v>129</v>
      </c>
      <c r="AV13">
        <v>0</v>
      </c>
      <c r="AW13">
        <v>3</v>
      </c>
      <c r="AX13">
        <v>42</v>
      </c>
      <c r="AY13">
        <v>49</v>
      </c>
      <c r="AZ13">
        <v>4</v>
      </c>
      <c r="BA13">
        <v>2</v>
      </c>
      <c r="BB13">
        <v>2</v>
      </c>
      <c r="BC13">
        <v>25</v>
      </c>
      <c r="BD13">
        <v>25</v>
      </c>
      <c r="BE13">
        <v>18</v>
      </c>
      <c r="BF13">
        <v>50</v>
      </c>
      <c r="BG13">
        <v>28</v>
      </c>
      <c r="BH13">
        <v>25</v>
      </c>
      <c r="BI13">
        <v>7</v>
      </c>
      <c r="BJ13">
        <v>2.3988005997001498E-2</v>
      </c>
      <c r="BK13">
        <v>0.29685157421289354</v>
      </c>
      <c r="BL13">
        <v>0</v>
      </c>
      <c r="BM13">
        <v>5.6971514242878558E-2</v>
      </c>
      <c r="BN13">
        <v>0.19340329835082459</v>
      </c>
      <c r="BO13">
        <v>0</v>
      </c>
      <c r="BP13">
        <v>4.4977511244377807E-3</v>
      </c>
      <c r="BQ13">
        <v>6.296851574212893E-2</v>
      </c>
      <c r="BR13">
        <v>7.3463268365817097E-2</v>
      </c>
      <c r="BS13">
        <v>5.9970014992503746E-3</v>
      </c>
      <c r="BT13">
        <v>2.9985007496251873E-3</v>
      </c>
      <c r="BU13">
        <v>2.9985007496251873E-3</v>
      </c>
      <c r="BV13">
        <v>3.7481259370314844E-2</v>
      </c>
      <c r="BW13">
        <v>3.7481259370314844E-2</v>
      </c>
      <c r="BX13">
        <v>2.6986506746626688E-2</v>
      </c>
      <c r="BY13">
        <v>7.4962518740629688E-2</v>
      </c>
      <c r="BZ13">
        <v>4.1979010494752625E-2</v>
      </c>
      <c r="CA13">
        <v>3.7481259370314844E-2</v>
      </c>
      <c r="CB13">
        <v>1.0494752623688156E-2</v>
      </c>
      <c r="CC13">
        <v>667</v>
      </c>
      <c r="CD13">
        <v>634</v>
      </c>
      <c r="CE13">
        <v>9</v>
      </c>
      <c r="CF13">
        <v>7</v>
      </c>
      <c r="CG13">
        <v>17</v>
      </c>
      <c r="CH13">
        <v>13</v>
      </c>
      <c r="CI13">
        <v>2</v>
      </c>
      <c r="CJ13">
        <v>1</v>
      </c>
      <c r="CK13">
        <v>0.95052473763118439</v>
      </c>
      <c r="CL13">
        <v>1.3493253373313344E-2</v>
      </c>
      <c r="CM13">
        <v>1.0494752623688156E-2</v>
      </c>
      <c r="CN13">
        <v>0.76470588235294112</v>
      </c>
      <c r="CO13">
        <v>0.11764705882352941</v>
      </c>
      <c r="CP13">
        <v>5.8823529411764705E-2</v>
      </c>
    </row>
    <row r="14" spans="1:94" x14ac:dyDescent="0.15">
      <c r="A14" t="s">
        <v>443</v>
      </c>
      <c r="B14" t="s">
        <v>429</v>
      </c>
      <c r="C14" t="s">
        <v>444</v>
      </c>
      <c r="D14">
        <v>1297</v>
      </c>
      <c r="E14">
        <v>967</v>
      </c>
      <c r="F14">
        <v>234</v>
      </c>
      <c r="G14">
        <v>258</v>
      </c>
      <c r="H14">
        <v>0.74556669236700079</v>
      </c>
      <c r="I14">
        <v>0.18041634541249035</v>
      </c>
      <c r="J14">
        <v>0.19892058596761758</v>
      </c>
      <c r="K14">
        <v>3338</v>
      </c>
      <c r="L14">
        <v>722</v>
      </c>
      <c r="M14">
        <v>713</v>
      </c>
      <c r="N14">
        <v>1886</v>
      </c>
      <c r="O14">
        <v>0.21629718394248051</v>
      </c>
      <c r="P14">
        <v>0.21360095865787898</v>
      </c>
      <c r="Q14">
        <v>0.56500898741761529</v>
      </c>
      <c r="R14">
        <v>3338</v>
      </c>
      <c r="S14">
        <v>246</v>
      </c>
      <c r="T14">
        <v>59</v>
      </c>
      <c r="U14">
        <v>49</v>
      </c>
      <c r="V14">
        <v>3</v>
      </c>
      <c r="W14">
        <v>357</v>
      </c>
      <c r="X14">
        <v>1580</v>
      </c>
      <c r="Y14">
        <v>115</v>
      </c>
      <c r="Z14">
        <v>27</v>
      </c>
      <c r="AA14">
        <v>22</v>
      </c>
      <c r="AB14">
        <v>3</v>
      </c>
      <c r="AC14">
        <v>167</v>
      </c>
      <c r="AD14">
        <v>1758</v>
      </c>
      <c r="AE14">
        <v>131</v>
      </c>
      <c r="AF14">
        <v>32</v>
      </c>
      <c r="AG14">
        <v>27</v>
      </c>
      <c r="AH14">
        <v>0</v>
      </c>
      <c r="AI14">
        <v>190</v>
      </c>
      <c r="AJ14">
        <v>0.10695026962252846</v>
      </c>
      <c r="AK14">
        <v>0.16526610644257703</v>
      </c>
      <c r="AL14">
        <v>0.13725490196078433</v>
      </c>
      <c r="AM14">
        <v>8.4033613445378148E-3</v>
      </c>
      <c r="AN14">
        <v>0.46778711484593838</v>
      </c>
      <c r="AO14">
        <v>0.53221288515406162</v>
      </c>
      <c r="AP14">
        <v>1668</v>
      </c>
      <c r="AQ14">
        <v>452</v>
      </c>
      <c r="AR14">
        <v>1</v>
      </c>
      <c r="AS14">
        <v>0</v>
      </c>
      <c r="AT14">
        <v>258</v>
      </c>
      <c r="AU14">
        <v>139</v>
      </c>
      <c r="AV14">
        <v>5</v>
      </c>
      <c r="AW14">
        <v>8</v>
      </c>
      <c r="AX14">
        <v>50</v>
      </c>
      <c r="AY14">
        <v>168</v>
      </c>
      <c r="AZ14">
        <v>8</v>
      </c>
      <c r="BA14">
        <v>12</v>
      </c>
      <c r="BB14">
        <v>17</v>
      </c>
      <c r="BC14">
        <v>64</v>
      </c>
      <c r="BD14">
        <v>43</v>
      </c>
      <c r="BE14">
        <v>26</v>
      </c>
      <c r="BF14">
        <v>238</v>
      </c>
      <c r="BG14">
        <v>21</v>
      </c>
      <c r="BH14">
        <v>102</v>
      </c>
      <c r="BI14">
        <v>43</v>
      </c>
      <c r="BJ14">
        <v>0.27098321342925658</v>
      </c>
      <c r="BK14">
        <v>5.9952038369304552E-4</v>
      </c>
      <c r="BL14">
        <v>0</v>
      </c>
      <c r="BM14">
        <v>0.15467625899280577</v>
      </c>
      <c r="BN14">
        <v>8.3333333333333329E-2</v>
      </c>
      <c r="BO14">
        <v>2.9976019184652278E-3</v>
      </c>
      <c r="BP14">
        <v>4.7961630695443642E-3</v>
      </c>
      <c r="BQ14">
        <v>2.9976019184652279E-2</v>
      </c>
      <c r="BR14">
        <v>0.10071942446043165</v>
      </c>
      <c r="BS14">
        <v>4.7961630695443642E-3</v>
      </c>
      <c r="BT14">
        <v>7.1942446043165471E-3</v>
      </c>
      <c r="BU14">
        <v>1.0191846522781775E-2</v>
      </c>
      <c r="BV14">
        <v>3.8369304556354913E-2</v>
      </c>
      <c r="BW14">
        <v>2.5779376498800959E-2</v>
      </c>
      <c r="BX14">
        <v>1.5587529976019185E-2</v>
      </c>
      <c r="BY14">
        <v>0.14268585131894485</v>
      </c>
      <c r="BZ14">
        <v>1.2589928057553957E-2</v>
      </c>
      <c r="CA14">
        <v>6.1151079136690649E-2</v>
      </c>
      <c r="CB14">
        <v>2.5779376498800959E-2</v>
      </c>
      <c r="CC14">
        <v>1668</v>
      </c>
      <c r="CD14">
        <v>1544</v>
      </c>
      <c r="CE14">
        <v>91</v>
      </c>
      <c r="CF14">
        <v>10</v>
      </c>
      <c r="CG14">
        <v>100</v>
      </c>
      <c r="CH14">
        <v>82</v>
      </c>
      <c r="CI14">
        <v>14</v>
      </c>
      <c r="CJ14">
        <v>2</v>
      </c>
      <c r="CK14">
        <v>0.92565947242206237</v>
      </c>
      <c r="CL14">
        <v>5.4556354916067147E-2</v>
      </c>
      <c r="CM14">
        <v>5.9952038369304557E-3</v>
      </c>
      <c r="CN14">
        <v>0.82</v>
      </c>
      <c r="CO14">
        <v>0.14000000000000001</v>
      </c>
      <c r="CP14">
        <v>0.02</v>
      </c>
    </row>
    <row r="15" spans="1:94" x14ac:dyDescent="0.15">
      <c r="A15" t="s">
        <v>445</v>
      </c>
      <c r="B15" t="s">
        <v>429</v>
      </c>
      <c r="C15" t="s">
        <v>446</v>
      </c>
      <c r="D15" s="202">
        <v>1291</v>
      </c>
      <c r="E15" s="202">
        <v>881</v>
      </c>
      <c r="F15" s="202">
        <v>239</v>
      </c>
      <c r="G15" s="202">
        <v>262</v>
      </c>
      <c r="H15" s="202">
        <v>0.68241673121611157</v>
      </c>
      <c r="I15" s="202">
        <v>0.18512780790085206</v>
      </c>
      <c r="J15" s="202">
        <v>0.20294345468628969</v>
      </c>
      <c r="K15" s="202">
        <v>3057</v>
      </c>
      <c r="L15" s="202">
        <v>710</v>
      </c>
      <c r="M15" s="202">
        <v>662</v>
      </c>
      <c r="N15" s="202">
        <v>1671</v>
      </c>
      <c r="O15" s="202">
        <v>0.23225384363755316</v>
      </c>
      <c r="P15" s="202">
        <v>0.21655217533529605</v>
      </c>
      <c r="Q15" s="202">
        <v>0.54661432777232577</v>
      </c>
      <c r="R15" s="202">
        <v>3057</v>
      </c>
      <c r="S15" s="202">
        <v>230</v>
      </c>
      <c r="T15" s="202">
        <v>39</v>
      </c>
      <c r="U15" s="202">
        <v>78</v>
      </c>
      <c r="V15" s="202">
        <v>48</v>
      </c>
      <c r="W15" s="202">
        <v>395</v>
      </c>
      <c r="X15" s="202">
        <v>1484</v>
      </c>
      <c r="Y15" s="202">
        <v>103</v>
      </c>
      <c r="Z15" s="202">
        <v>20</v>
      </c>
      <c r="AA15" s="202">
        <v>40</v>
      </c>
      <c r="AB15" s="202">
        <v>24</v>
      </c>
      <c r="AC15" s="202">
        <v>187</v>
      </c>
      <c r="AD15" s="202">
        <v>1573</v>
      </c>
      <c r="AE15" s="202">
        <v>127</v>
      </c>
      <c r="AF15" s="202">
        <v>19</v>
      </c>
      <c r="AG15" s="202">
        <v>38</v>
      </c>
      <c r="AH15" s="202">
        <v>24</v>
      </c>
      <c r="AI15" s="202">
        <v>208</v>
      </c>
      <c r="AJ15" s="202">
        <v>0.12921164540399083</v>
      </c>
      <c r="AK15" s="202">
        <v>9.8734177215189872E-2</v>
      </c>
      <c r="AL15" s="202">
        <v>0.19746835443037974</v>
      </c>
      <c r="AM15" s="202">
        <v>0.12151898734177215</v>
      </c>
      <c r="AN15" s="202">
        <v>0.47341772151898737</v>
      </c>
      <c r="AO15" s="202">
        <v>0.52658227848101269</v>
      </c>
      <c r="AP15" s="202">
        <v>1550</v>
      </c>
      <c r="AQ15" s="202">
        <v>195</v>
      </c>
      <c r="AR15" s="202">
        <v>316</v>
      </c>
      <c r="AS15" s="202">
        <v>0</v>
      </c>
      <c r="AT15" s="202">
        <v>146</v>
      </c>
      <c r="AU15" s="202">
        <v>195</v>
      </c>
      <c r="AV15" s="202">
        <v>3</v>
      </c>
      <c r="AW15" s="202">
        <v>1</v>
      </c>
      <c r="AX15" s="202">
        <v>40</v>
      </c>
      <c r="AY15" s="202">
        <v>153</v>
      </c>
      <c r="AZ15" s="202">
        <v>10</v>
      </c>
      <c r="BA15" s="202">
        <v>9</v>
      </c>
      <c r="BB15" s="202">
        <v>5</v>
      </c>
      <c r="BC15" s="202">
        <v>90</v>
      </c>
      <c r="BD15" s="202">
        <v>29</v>
      </c>
      <c r="BE15" s="202">
        <v>21</v>
      </c>
      <c r="BF15" s="202">
        <v>203</v>
      </c>
      <c r="BG15" s="202">
        <v>25</v>
      </c>
      <c r="BH15" s="202">
        <v>36</v>
      </c>
      <c r="BI15" s="202">
        <v>41</v>
      </c>
      <c r="BJ15" s="202">
        <v>0.12580645161290321</v>
      </c>
      <c r="BK15" s="202">
        <v>0.20387096774193547</v>
      </c>
      <c r="BL15" s="202">
        <v>0</v>
      </c>
      <c r="BM15" s="202">
        <v>9.4193548387096773E-2</v>
      </c>
      <c r="BN15" s="202">
        <v>0.12580645161290321</v>
      </c>
      <c r="BO15" s="202">
        <v>1.9354838709677419E-3</v>
      </c>
      <c r="BP15" s="202">
        <v>6.4516129032258064E-4</v>
      </c>
      <c r="BQ15" s="202">
        <v>2.5806451612903226E-2</v>
      </c>
      <c r="BR15" s="202">
        <v>9.8709677419354838E-2</v>
      </c>
      <c r="BS15" s="202">
        <v>6.4516129032258064E-3</v>
      </c>
      <c r="BT15" s="202">
        <v>5.8064516129032262E-3</v>
      </c>
      <c r="BU15" s="202">
        <v>3.2258064516129032E-3</v>
      </c>
      <c r="BV15" s="202">
        <v>5.8064516129032261E-2</v>
      </c>
      <c r="BW15" s="202">
        <v>1.870967741935484E-2</v>
      </c>
      <c r="BX15" s="202">
        <v>1.3548387096774193E-2</v>
      </c>
      <c r="BY15" s="202">
        <v>0.13096774193548388</v>
      </c>
      <c r="BZ15" s="202">
        <v>1.6129032258064516E-2</v>
      </c>
      <c r="CA15" s="202">
        <v>2.3225806451612905E-2</v>
      </c>
      <c r="CB15" s="202">
        <v>2.6451612903225806E-2</v>
      </c>
      <c r="CC15" s="202">
        <v>1550</v>
      </c>
      <c r="CD15" s="202">
        <v>1426</v>
      </c>
      <c r="CE15" s="202">
        <v>27</v>
      </c>
      <c r="CF15" s="202">
        <v>66</v>
      </c>
      <c r="CG15" s="202">
        <v>59</v>
      </c>
      <c r="CH15" s="202">
        <v>48</v>
      </c>
      <c r="CI15" s="202">
        <v>5</v>
      </c>
      <c r="CJ15" s="202">
        <v>4</v>
      </c>
      <c r="CK15" s="202">
        <v>0.92</v>
      </c>
      <c r="CL15" s="202">
        <v>1.7419354838709676E-2</v>
      </c>
      <c r="CM15" s="202">
        <v>4.2580645161290322E-2</v>
      </c>
      <c r="CN15" s="202">
        <v>0.81355932203389836</v>
      </c>
      <c r="CO15" s="202">
        <v>8.4745762711864403E-2</v>
      </c>
      <c r="CP15" s="202">
        <v>6.7796610169491525E-2</v>
      </c>
    </row>
    <row r="16" spans="1:94" x14ac:dyDescent="0.15">
      <c r="A16" t="s">
        <v>447</v>
      </c>
      <c r="B16" t="s">
        <v>429</v>
      </c>
      <c r="C16" t="s">
        <v>448</v>
      </c>
      <c r="D16">
        <v>1210</v>
      </c>
      <c r="E16">
        <v>865</v>
      </c>
      <c r="F16">
        <v>221</v>
      </c>
      <c r="G16">
        <v>251</v>
      </c>
      <c r="H16">
        <v>0.71487603305785119</v>
      </c>
      <c r="I16">
        <v>0.18264462809917356</v>
      </c>
      <c r="J16">
        <v>0.20743801652892563</v>
      </c>
      <c r="K16">
        <v>3207</v>
      </c>
      <c r="L16">
        <v>711</v>
      </c>
      <c r="M16">
        <v>798</v>
      </c>
      <c r="N16">
        <v>1696</v>
      </c>
      <c r="O16">
        <v>0.22170252572497662</v>
      </c>
      <c r="P16">
        <v>0.24883068288119739</v>
      </c>
      <c r="Q16">
        <v>0.52884315559713124</v>
      </c>
      <c r="R16">
        <v>3207</v>
      </c>
      <c r="S16">
        <v>348</v>
      </c>
      <c r="T16">
        <v>59</v>
      </c>
      <c r="U16">
        <v>46</v>
      </c>
      <c r="V16">
        <v>22</v>
      </c>
      <c r="W16">
        <v>475</v>
      </c>
      <c r="X16">
        <v>1469</v>
      </c>
      <c r="Y16">
        <v>122</v>
      </c>
      <c r="Z16">
        <v>27</v>
      </c>
      <c r="AA16">
        <v>28</v>
      </c>
      <c r="AB16">
        <v>0</v>
      </c>
      <c r="AC16">
        <v>177</v>
      </c>
      <c r="AD16">
        <v>1738</v>
      </c>
      <c r="AE16">
        <v>226</v>
      </c>
      <c r="AF16">
        <v>32</v>
      </c>
      <c r="AG16">
        <v>18</v>
      </c>
      <c r="AH16">
        <v>22</v>
      </c>
      <c r="AI16">
        <v>298</v>
      </c>
      <c r="AJ16">
        <v>0.14811350171499843</v>
      </c>
      <c r="AK16">
        <v>0.12421052631578948</v>
      </c>
      <c r="AL16">
        <v>9.6842105263157896E-2</v>
      </c>
      <c r="AM16">
        <v>4.6315789473684213E-2</v>
      </c>
      <c r="AN16">
        <v>0.37263157894736842</v>
      </c>
      <c r="AO16">
        <v>0.62736842105263158</v>
      </c>
      <c r="AP16">
        <v>1459</v>
      </c>
      <c r="AQ16">
        <v>240</v>
      </c>
      <c r="AR16">
        <v>7</v>
      </c>
      <c r="AS16">
        <v>3</v>
      </c>
      <c r="AT16">
        <v>190</v>
      </c>
      <c r="AU16">
        <v>241</v>
      </c>
      <c r="AV16">
        <v>2</v>
      </c>
      <c r="AW16">
        <v>6</v>
      </c>
      <c r="AX16">
        <v>56</v>
      </c>
      <c r="AY16">
        <v>141</v>
      </c>
      <c r="AZ16">
        <v>19</v>
      </c>
      <c r="BA16">
        <v>16</v>
      </c>
      <c r="BB16">
        <v>20</v>
      </c>
      <c r="BC16">
        <v>40</v>
      </c>
      <c r="BD16">
        <v>41</v>
      </c>
      <c r="BE16">
        <v>31</v>
      </c>
      <c r="BF16">
        <v>249</v>
      </c>
      <c r="BG16">
        <v>24</v>
      </c>
      <c r="BH16">
        <v>83</v>
      </c>
      <c r="BI16">
        <v>44</v>
      </c>
      <c r="BJ16">
        <v>0.16449623029472241</v>
      </c>
      <c r="BK16">
        <v>4.7978067169294038E-3</v>
      </c>
      <c r="BL16">
        <v>2.0562028786840301E-3</v>
      </c>
      <c r="BM16">
        <v>0.13022618231665525</v>
      </c>
      <c r="BN16">
        <v>0.16518163125428376</v>
      </c>
      <c r="BO16">
        <v>1.3708019191226869E-3</v>
      </c>
      <c r="BP16">
        <v>4.1124057573680602E-3</v>
      </c>
      <c r="BQ16">
        <v>3.838245373543523E-2</v>
      </c>
      <c r="BR16">
        <v>9.6641535298149422E-2</v>
      </c>
      <c r="BS16">
        <v>1.3022618231665525E-2</v>
      </c>
      <c r="BT16">
        <v>1.0966415352981495E-2</v>
      </c>
      <c r="BU16">
        <v>1.3708019191226868E-2</v>
      </c>
      <c r="BV16">
        <v>2.7416038382453736E-2</v>
      </c>
      <c r="BW16">
        <v>2.8101439342015078E-2</v>
      </c>
      <c r="BX16">
        <v>2.1247429746401644E-2</v>
      </c>
      <c r="BY16">
        <v>0.1706648389307745</v>
      </c>
      <c r="BZ16">
        <v>1.6449623029472241E-2</v>
      </c>
      <c r="CA16">
        <v>5.6888279643591499E-2</v>
      </c>
      <c r="CB16">
        <v>3.015764222069911E-2</v>
      </c>
      <c r="CC16">
        <v>1459</v>
      </c>
      <c r="CD16">
        <v>1367</v>
      </c>
      <c r="CE16">
        <v>47</v>
      </c>
      <c r="CF16">
        <v>30</v>
      </c>
      <c r="CG16">
        <v>69</v>
      </c>
      <c r="CH16">
        <v>61</v>
      </c>
      <c r="CI16">
        <v>6</v>
      </c>
      <c r="CJ16">
        <v>1</v>
      </c>
      <c r="CK16">
        <v>0.93694311172035638</v>
      </c>
      <c r="CL16">
        <v>3.2213845099383139E-2</v>
      </c>
      <c r="CM16">
        <v>2.0562028786840301E-2</v>
      </c>
      <c r="CN16">
        <v>0.88405797101449279</v>
      </c>
      <c r="CO16">
        <v>8.6956521739130432E-2</v>
      </c>
      <c r="CP16">
        <v>1.4492753623188406E-2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5" t="str">
        <f>管理者入力シート!B4</f>
        <v>恒富地区</v>
      </c>
      <c r="C2" s="255"/>
      <c r="D2" s="255"/>
      <c r="E2" s="254" t="s">
        <v>225</v>
      </c>
      <c r="F2" s="254"/>
      <c r="G2" s="254"/>
      <c r="H2" s="254"/>
      <c r="I2" s="254"/>
    </row>
    <row r="3" spans="1:10" ht="22.5" customHeight="1" x14ac:dyDescent="0.15">
      <c r="B3" s="255"/>
      <c r="C3" s="255"/>
      <c r="D3" s="255"/>
      <c r="E3" s="254"/>
      <c r="F3" s="254"/>
      <c r="G3" s="254"/>
      <c r="H3" s="254"/>
      <c r="I3" s="254"/>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50">
        <f>管理者入力シート!B5</f>
        <v>2020</v>
      </c>
      <c r="B6" s="250"/>
      <c r="C6" s="20" t="s">
        <v>248</v>
      </c>
      <c r="E6" s="258">
        <f>管理者用グラフシート!E6</f>
        <v>34988</v>
      </c>
      <c r="F6" s="258"/>
      <c r="G6" s="20" t="s">
        <v>54</v>
      </c>
    </row>
    <row r="7" spans="1:10" ht="22.5" customHeight="1" x14ac:dyDescent="0.15">
      <c r="A7" s="250">
        <f>管理者用グラフシート!B4</f>
        <v>2010</v>
      </c>
      <c r="B7" s="250"/>
      <c r="C7" s="82" t="s">
        <v>226</v>
      </c>
      <c r="D7" s="252">
        <f>E6-管理者用グラフシート!E4</f>
        <v>-3842</v>
      </c>
      <c r="E7" s="252"/>
      <c r="F7" s="20" t="s">
        <v>356</v>
      </c>
    </row>
    <row r="8" spans="1:10" ht="22.5" customHeight="1" x14ac:dyDescent="0.15">
      <c r="A8" s="249" t="s">
        <v>380</v>
      </c>
      <c r="B8" s="249"/>
      <c r="C8" s="204">
        <f>管理者用グラフシート!C6-管理者用グラフシート!C4</f>
        <v>-1519</v>
      </c>
      <c r="D8" s="207" t="s">
        <v>381</v>
      </c>
      <c r="F8" s="204">
        <f>管理者用グラフシート!D6-管理者用グラフシート!D4</f>
        <v>-2323</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1">
        <f>管理者用グラフシート!C12</f>
        <v>1917</v>
      </c>
      <c r="G36" s="251"/>
      <c r="H36" s="20" t="s">
        <v>54</v>
      </c>
    </row>
    <row r="37" spans="1:9" ht="22.5" customHeight="1" x14ac:dyDescent="0.15">
      <c r="A37" s="20" t="s">
        <v>66</v>
      </c>
      <c r="F37" s="251">
        <f>管理者用グラフシート!C16</f>
        <v>959</v>
      </c>
      <c r="G37" s="251"/>
      <c r="H37" s="20" t="s">
        <v>54</v>
      </c>
    </row>
    <row r="38" spans="1:9" ht="22.5" customHeight="1" x14ac:dyDescent="0.15">
      <c r="D38" s="253"/>
      <c r="E38" s="253"/>
      <c r="F38" s="35"/>
      <c r="G38" s="34"/>
    </row>
    <row r="39" spans="1:9" ht="22.5" customHeight="1" x14ac:dyDescent="0.15">
      <c r="A39" s="250">
        <f>管理者用グラフシート!B4</f>
        <v>2010</v>
      </c>
      <c r="B39" s="250"/>
      <c r="C39" s="20" t="s">
        <v>228</v>
      </c>
      <c r="E39" s="34"/>
      <c r="F39" s="35"/>
    </row>
    <row r="40" spans="1:9" ht="22.5" customHeight="1" x14ac:dyDescent="0.15">
      <c r="B40" s="20" t="s">
        <v>67</v>
      </c>
      <c r="D40" s="252">
        <f>F36-管理者用グラフシート!C10</f>
        <v>-380</v>
      </c>
      <c r="E40" s="252"/>
      <c r="F40" s="20" t="s">
        <v>60</v>
      </c>
    </row>
    <row r="41" spans="1:9" ht="22.5" customHeight="1" x14ac:dyDescent="0.15">
      <c r="B41" s="20" t="s">
        <v>69</v>
      </c>
      <c r="D41" s="252">
        <f>F37-管理者用グラフシート!C14</f>
        <v>-152</v>
      </c>
      <c r="E41" s="252"/>
      <c r="F41" s="20" t="s">
        <v>70</v>
      </c>
    </row>
    <row r="53" spans="1:13" ht="22.5" customHeight="1" x14ac:dyDescent="0.15">
      <c r="M53" s="72"/>
    </row>
    <row r="62" spans="1:13" ht="22.5" customHeight="1" thickBot="1" x14ac:dyDescent="0.2"/>
    <row r="63" spans="1:13" ht="22.5" customHeight="1" x14ac:dyDescent="0.15">
      <c r="A63" s="244"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1">
        <f>管理者用グラフシート!C22</f>
        <v>11205</v>
      </c>
      <c r="D70" s="251"/>
      <c r="E70" s="20" t="s">
        <v>76</v>
      </c>
      <c r="F70" s="37"/>
      <c r="G70" s="256">
        <f>管理者用グラフシート!C32</f>
        <v>0.32</v>
      </c>
      <c r="H70" s="256"/>
      <c r="I70" s="20" t="s">
        <v>77</v>
      </c>
    </row>
    <row r="71" spans="1:9" ht="22.5" customHeight="1" x14ac:dyDescent="0.15">
      <c r="A71" s="20" t="s">
        <v>78</v>
      </c>
      <c r="C71" s="251">
        <f>管理者用グラフシート!C26</f>
        <v>5868</v>
      </c>
      <c r="D71" s="251"/>
      <c r="E71" s="20" t="s">
        <v>76</v>
      </c>
      <c r="F71" s="37"/>
      <c r="G71" s="256">
        <f>管理者用グラフシート!C36</f>
        <v>0.17</v>
      </c>
      <c r="H71" s="256"/>
      <c r="I71" s="20" t="s">
        <v>77</v>
      </c>
    </row>
    <row r="72" spans="1:9" ht="22.5" customHeight="1" x14ac:dyDescent="0.15">
      <c r="D72" s="253"/>
      <c r="E72" s="253"/>
      <c r="F72" s="35"/>
      <c r="G72" s="34"/>
    </row>
    <row r="73" spans="1:9" ht="22.5" customHeight="1" x14ac:dyDescent="0.15">
      <c r="A73" s="250">
        <f>管理者用グラフシート!B4</f>
        <v>2010</v>
      </c>
      <c r="B73" s="250"/>
      <c r="C73" s="20" t="s">
        <v>228</v>
      </c>
      <c r="E73" s="34"/>
      <c r="F73" s="35"/>
    </row>
    <row r="74" spans="1:9" ht="22.5" customHeight="1" x14ac:dyDescent="0.15">
      <c r="B74" s="20" t="s">
        <v>81</v>
      </c>
      <c r="D74" s="37"/>
      <c r="E74" s="251"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7ポイント上昇</v>
      </c>
      <c r="F74" s="251"/>
      <c r="G74" s="251"/>
      <c r="H74" s="20" t="s">
        <v>82</v>
      </c>
    </row>
    <row r="75" spans="1:9" ht="22.5" customHeight="1" x14ac:dyDescent="0.15">
      <c r="B75" s="20" t="s">
        <v>83</v>
      </c>
      <c r="D75" s="37"/>
      <c r="E75" s="257"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3ポイント上昇</v>
      </c>
      <c r="F75" s="257"/>
      <c r="G75" s="257"/>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50">
        <f>管理者用グラフシート!B39</f>
        <v>2010</v>
      </c>
      <c r="B104" s="250"/>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50">
        <f>管理者用グラフシート!B87</f>
        <v>2020</v>
      </c>
      <c r="B134" s="250"/>
      <c r="C134" s="37" t="s">
        <v>326</v>
      </c>
      <c r="D134" s="36"/>
      <c r="F134" s="37"/>
      <c r="G134" s="111"/>
      <c r="H134" s="111"/>
    </row>
    <row r="135" spans="1:8" ht="22.5" customHeight="1" x14ac:dyDescent="0.15">
      <c r="A135" s="250">
        <f>管理者用グラフシート!B4</f>
        <v>2010</v>
      </c>
      <c r="B135" s="250"/>
      <c r="C135" s="20" t="s">
        <v>385</v>
      </c>
      <c r="D135" s="36"/>
      <c r="F135" s="206">
        <f>SUM(管理者用グラフシート!B93:C94)-SUM(管理者用グラフシート!B45:C46)</f>
        <v>-877</v>
      </c>
      <c r="G135" s="208" t="s">
        <v>386</v>
      </c>
      <c r="H135" s="111"/>
    </row>
    <row r="136" spans="1:8" ht="22.5" customHeight="1" x14ac:dyDescent="0.15">
      <c r="A136" s="35" t="s">
        <v>387</v>
      </c>
      <c r="C136" s="206">
        <f>SUM(管理者用グラフシート!B95:C96)-SUM(管理者用グラフシート!B47:C48)</f>
        <v>-1537</v>
      </c>
      <c r="D136" s="20" t="s">
        <v>388</v>
      </c>
      <c r="E136" s="34"/>
      <c r="F136" s="206">
        <f>SUM(管理者用グラフシート!B97:C98)-SUM(管理者用グラフシート!B49:C50)</f>
        <v>121</v>
      </c>
      <c r="G136" s="20" t="s">
        <v>386</v>
      </c>
    </row>
    <row r="137" spans="1:8" ht="18.75" x14ac:dyDescent="0.15">
      <c r="A137" s="20" t="s">
        <v>389</v>
      </c>
      <c r="C137" s="206">
        <f>SUM(管理者用グラフシート!B99:C100)-SUM(管理者用グラフシート!B51:C52)</f>
        <v>-959</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5" t="str">
        <f>管理者入力シート!B4</f>
        <v>恒富地区</v>
      </c>
      <c r="B2" s="255"/>
      <c r="C2" s="255"/>
      <c r="D2" s="254" t="s">
        <v>230</v>
      </c>
      <c r="E2" s="254"/>
      <c r="F2" s="254"/>
      <c r="G2" s="254"/>
      <c r="H2" s="254"/>
      <c r="I2" s="254"/>
    </row>
    <row r="3" spans="1:9" ht="27.75" customHeight="1" x14ac:dyDescent="0.15">
      <c r="A3" s="255"/>
      <c r="B3" s="255"/>
      <c r="C3" s="255"/>
      <c r="D3" s="254"/>
      <c r="E3" s="254"/>
      <c r="F3" s="254"/>
      <c r="G3" s="254"/>
      <c r="H3" s="254"/>
      <c r="I3" s="254"/>
    </row>
    <row r="4" spans="1:9" ht="27.75" customHeight="1" x14ac:dyDescent="0.15"/>
    <row r="5" spans="1:9" s="39" customFormat="1" ht="40.5" customHeight="1" x14ac:dyDescent="0.15">
      <c r="A5" s="108" t="s">
        <v>64</v>
      </c>
    </row>
    <row r="6" spans="1:9" ht="22.5" customHeight="1" x14ac:dyDescent="0.15">
      <c r="A6" s="250">
        <f>管理者入力シート!B9</f>
        <v>2030</v>
      </c>
      <c r="B6" s="250"/>
      <c r="C6" s="20" t="s">
        <v>361</v>
      </c>
      <c r="D6" s="251">
        <f>管理者用グラフシート!K8</f>
        <v>30100</v>
      </c>
      <c r="E6" s="251"/>
      <c r="F6" s="20" t="s">
        <v>231</v>
      </c>
      <c r="H6" s="34"/>
      <c r="I6" s="34"/>
    </row>
    <row r="7" spans="1:9" ht="22.5" customHeight="1" x14ac:dyDescent="0.15">
      <c r="A7" s="250">
        <f>管理者入力シート!B5</f>
        <v>2020</v>
      </c>
      <c r="B7" s="250"/>
      <c r="C7" s="195" t="s">
        <v>362</v>
      </c>
      <c r="D7" s="252">
        <f>D6-現況シート!E6</f>
        <v>-4888</v>
      </c>
      <c r="E7" s="252"/>
      <c r="F7" s="20" t="s">
        <v>232</v>
      </c>
      <c r="I7" s="34"/>
    </row>
    <row r="8" spans="1:9" ht="22.5" customHeight="1" x14ac:dyDescent="0.15">
      <c r="A8" s="249" t="s">
        <v>397</v>
      </c>
      <c r="B8" s="249"/>
      <c r="C8" s="206">
        <f>管理者用グラフシート!I8-管理者用グラフシート!C6</f>
        <v>-2119</v>
      </c>
      <c r="D8" s="207" t="s">
        <v>398</v>
      </c>
      <c r="F8" s="262">
        <f>管理者用グラフシート!J8-管理者用グラフシート!D6</f>
        <v>-2769</v>
      </c>
      <c r="G8" s="262"/>
      <c r="H8" s="20" t="s">
        <v>399</v>
      </c>
    </row>
    <row r="10" spans="1:9" ht="22.5" customHeight="1" x14ac:dyDescent="0.15">
      <c r="A10" s="250">
        <f>管理者入力シート!B11</f>
        <v>2040</v>
      </c>
      <c r="B10" s="250"/>
      <c r="C10" s="20" t="s">
        <v>361</v>
      </c>
      <c r="D10" s="251">
        <f>管理者用グラフシート!K10</f>
        <v>25240</v>
      </c>
      <c r="E10" s="251"/>
      <c r="F10" s="20" t="s">
        <v>231</v>
      </c>
      <c r="H10" s="34"/>
    </row>
    <row r="11" spans="1:9" ht="22.5" customHeight="1" x14ac:dyDescent="0.15">
      <c r="A11" s="250">
        <f>管理者入力シート!B5</f>
        <v>2020</v>
      </c>
      <c r="B11" s="250"/>
      <c r="C11" s="195" t="s">
        <v>362</v>
      </c>
      <c r="D11" s="252">
        <f>D10-現況シート!E6</f>
        <v>-9748</v>
      </c>
      <c r="E11" s="252"/>
      <c r="F11" s="20" t="s">
        <v>232</v>
      </c>
      <c r="H11" s="34"/>
    </row>
    <row r="12" spans="1:9" ht="22.5" customHeight="1" x14ac:dyDescent="0.15">
      <c r="A12" s="249" t="s">
        <v>397</v>
      </c>
      <c r="B12" s="249"/>
      <c r="C12" s="206">
        <f>管理者用グラフシート!I10-管理者用グラフシート!C6</f>
        <v>-4301</v>
      </c>
      <c r="D12" s="207" t="s">
        <v>398</v>
      </c>
      <c r="F12" s="262">
        <f>管理者用グラフシート!J10-管理者用グラフシート!D6</f>
        <v>-5447</v>
      </c>
      <c r="G12" s="262"/>
      <c r="H12" s="20" t="s">
        <v>399</v>
      </c>
    </row>
    <row r="22" spans="7:7" ht="22.5" customHeight="1" x14ac:dyDescent="0.15">
      <c r="G22" s="20">
        <v>15</v>
      </c>
    </row>
    <row r="34" spans="1:9" s="39" customFormat="1" ht="40.5" customHeight="1" x14ac:dyDescent="0.15">
      <c r="A34" s="108" t="s">
        <v>68</v>
      </c>
    </row>
    <row r="35" spans="1:9" ht="22.5" customHeight="1" x14ac:dyDescent="0.15">
      <c r="A35" s="250">
        <f>管理者用グラフシート!H20</f>
        <v>2040</v>
      </c>
      <c r="B35" s="250"/>
      <c r="C35" s="259" t="s">
        <v>363</v>
      </c>
      <c r="D35" s="259"/>
      <c r="F35" s="36"/>
      <c r="G35" s="36"/>
      <c r="H35" s="258"/>
      <c r="I35" s="253"/>
    </row>
    <row r="36" spans="1:9" ht="22.5" customHeight="1" x14ac:dyDescent="0.15">
      <c r="A36" s="20" t="s">
        <v>237</v>
      </c>
      <c r="F36" s="251">
        <f>管理者用グラフシート!I20</f>
        <v>1099</v>
      </c>
      <c r="G36" s="251"/>
      <c r="H36" s="82" t="s">
        <v>233</v>
      </c>
      <c r="I36" s="34"/>
    </row>
    <row r="37" spans="1:9" ht="22.5" customHeight="1" x14ac:dyDescent="0.15">
      <c r="A37" s="20" t="s">
        <v>234</v>
      </c>
      <c r="F37" s="251">
        <f>管理者用グラフシート!I28</f>
        <v>548</v>
      </c>
      <c r="G37" s="251"/>
      <c r="H37" s="109" t="s">
        <v>235</v>
      </c>
      <c r="I37" s="86"/>
    </row>
    <row r="38" spans="1:9" ht="22.5" customHeight="1" x14ac:dyDescent="0.15">
      <c r="D38" s="253"/>
      <c r="E38" s="253"/>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2">
        <f>F36-現況シート!F36</f>
        <v>-818</v>
      </c>
      <c r="G40" s="252"/>
      <c r="H40" s="35" t="s">
        <v>60</v>
      </c>
    </row>
    <row r="41" spans="1:9" ht="22.5" customHeight="1" x14ac:dyDescent="0.15">
      <c r="A41" s="20" t="s">
        <v>69</v>
      </c>
      <c r="C41" s="199">
        <f>管理者入力シート!B5</f>
        <v>2020</v>
      </c>
      <c r="D41" s="20" t="s">
        <v>374</v>
      </c>
      <c r="F41" s="252">
        <f>F37-現況シート!F37</f>
        <v>-411</v>
      </c>
      <c r="G41" s="252"/>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50">
        <f>管理者用グラフシート!H38</f>
        <v>2040</v>
      </c>
      <c r="B69" s="250"/>
      <c r="C69" s="259" t="s">
        <v>363</v>
      </c>
      <c r="D69" s="259"/>
      <c r="F69" s="34"/>
      <c r="G69" s="37"/>
      <c r="H69" s="67"/>
      <c r="I69" s="71"/>
    </row>
    <row r="70" spans="1:9" ht="22.5" customHeight="1" x14ac:dyDescent="0.15">
      <c r="A70" s="20" t="s">
        <v>238</v>
      </c>
      <c r="C70" s="251">
        <f>管理者用グラフシート!I38</f>
        <v>9683</v>
      </c>
      <c r="D70" s="251"/>
      <c r="E70" s="82" t="s">
        <v>239</v>
      </c>
      <c r="F70" s="34"/>
      <c r="G70" s="256">
        <f>管理者用グラフシート!I56</f>
        <v>0.38</v>
      </c>
      <c r="H70" s="256"/>
      <c r="I70" s="110" t="s">
        <v>240</v>
      </c>
    </row>
    <row r="71" spans="1:9" ht="22.5" customHeight="1" x14ac:dyDescent="0.15">
      <c r="A71" s="20" t="s">
        <v>241</v>
      </c>
      <c r="C71" s="251">
        <f>管理者用グラフシート!I46</f>
        <v>5785</v>
      </c>
      <c r="D71" s="251"/>
      <c r="E71" s="20" t="s">
        <v>239</v>
      </c>
      <c r="G71" s="260">
        <f>管理者用グラフシート!I64</f>
        <v>0.23</v>
      </c>
      <c r="H71" s="253"/>
      <c r="I71" s="20" t="s">
        <v>242</v>
      </c>
    </row>
    <row r="72" spans="1:9" ht="27.75" customHeight="1" x14ac:dyDescent="0.15">
      <c r="C72" s="81"/>
      <c r="D72" s="81"/>
      <c r="G72" s="261" t="s">
        <v>236</v>
      </c>
      <c r="H72" s="261"/>
      <c r="I72" s="261"/>
    </row>
    <row r="73" spans="1:9" ht="22.5" customHeight="1" x14ac:dyDescent="0.15">
      <c r="A73" s="250">
        <f>管理者入力シート!B5</f>
        <v>2020</v>
      </c>
      <c r="B73" s="250"/>
      <c r="C73" s="20" t="s">
        <v>228</v>
      </c>
      <c r="D73" s="34"/>
      <c r="E73" s="34"/>
      <c r="F73" s="35"/>
    </row>
    <row r="74" spans="1:9" ht="22.5" customHeight="1" x14ac:dyDescent="0.15">
      <c r="B74" s="20" t="s">
        <v>81</v>
      </c>
      <c r="D74" s="37"/>
      <c r="E74" s="251"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6ポイント上昇</v>
      </c>
      <c r="F74" s="251"/>
      <c r="G74" s="251"/>
      <c r="H74" s="20" t="s">
        <v>82</v>
      </c>
    </row>
    <row r="75" spans="1:9" ht="22.5" customHeight="1" x14ac:dyDescent="0.15">
      <c r="B75" s="20" t="s">
        <v>83</v>
      </c>
      <c r="D75" s="37"/>
      <c r="E75" s="257"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6ポイント上昇</v>
      </c>
      <c r="F75" s="257"/>
      <c r="G75" s="257"/>
      <c r="H75" s="20" t="s">
        <v>77</v>
      </c>
    </row>
    <row r="101" spans="1:8" s="39" customFormat="1" ht="40.5" customHeight="1" x14ac:dyDescent="0.15">
      <c r="A101" s="108" t="s">
        <v>112</v>
      </c>
    </row>
    <row r="102" spans="1:8" ht="22.5" customHeight="1" x14ac:dyDescent="0.15">
      <c r="A102" s="250">
        <f>管理者用グラフシート!H91</f>
        <v>2030</v>
      </c>
      <c r="B102" s="250"/>
      <c r="C102" s="20" t="s">
        <v>364</v>
      </c>
      <c r="D102" s="196"/>
    </row>
    <row r="103" spans="1:8" ht="27.75" customHeight="1" x14ac:dyDescent="0.15">
      <c r="A103" s="250">
        <f>管理者入力シート!B5</f>
        <v>2020</v>
      </c>
      <c r="B103" s="250"/>
      <c r="C103" s="20" t="s">
        <v>385</v>
      </c>
      <c r="D103" s="36"/>
      <c r="G103" s="206">
        <f>SUM(管理者用グラフシート!H97:I98)-SUM(管理者用グラフシート!B93:C94)</f>
        <v>-348</v>
      </c>
      <c r="H103" s="208" t="s">
        <v>60</v>
      </c>
    </row>
    <row r="104" spans="1:8" ht="22.5" customHeight="1" x14ac:dyDescent="0.15">
      <c r="A104" s="35" t="s">
        <v>387</v>
      </c>
      <c r="C104" s="206">
        <f>SUM(管理者用グラフシート!H99:I100)-SUM(管理者用グラフシート!B95:C96)</f>
        <v>-808</v>
      </c>
      <c r="D104" s="20" t="s">
        <v>423</v>
      </c>
      <c r="E104" s="34"/>
      <c r="G104" s="206">
        <f>SUM(管理者用グラフシート!H101:I102)-SUM(管理者用グラフシート!B97:C98)</f>
        <v>-1423</v>
      </c>
      <c r="H104" s="20" t="s">
        <v>60</v>
      </c>
    </row>
    <row r="105" spans="1:8" ht="22.5" customHeight="1" x14ac:dyDescent="0.15">
      <c r="A105" s="20" t="s">
        <v>389</v>
      </c>
      <c r="C105" s="206">
        <f>SUM(管理者用グラフシート!H103:I104)-SUM(管理者用グラフシート!B99:C100)</f>
        <v>89</v>
      </c>
      <c r="D105" s="20" t="s">
        <v>70</v>
      </c>
      <c r="E105" s="34"/>
      <c r="F105" s="35"/>
    </row>
    <row r="136" spans="1:8" ht="22.5" customHeight="1" x14ac:dyDescent="0.15">
      <c r="A136" s="250">
        <f>管理者用グラフシート!H139</f>
        <v>2040</v>
      </c>
      <c r="B136" s="250"/>
      <c r="C136" s="20" t="s">
        <v>364</v>
      </c>
    </row>
    <row r="137" spans="1:8" ht="22.5" customHeight="1" x14ac:dyDescent="0.15">
      <c r="A137" s="250">
        <f>管理者入力シート!B5</f>
        <v>2020</v>
      </c>
      <c r="B137" s="250"/>
      <c r="C137" s="20" t="s">
        <v>385</v>
      </c>
      <c r="D137" s="36"/>
      <c r="G137" s="206">
        <f>SUM(管理者用グラフシート!H145:I146)-SUM(管理者用グラフシート!B93:C94)</f>
        <v>-850</v>
      </c>
      <c r="H137" s="208" t="s">
        <v>60</v>
      </c>
    </row>
    <row r="138" spans="1:8" ht="22.5" customHeight="1" x14ac:dyDescent="0.15">
      <c r="A138" s="35" t="s">
        <v>387</v>
      </c>
      <c r="C138" s="206">
        <f>SUM(管理者用グラフシート!H147:I148)-SUM(管理者用グラフシート!B95:C96)</f>
        <v>-1151</v>
      </c>
      <c r="D138" s="20" t="s">
        <v>423</v>
      </c>
      <c r="E138" s="34"/>
      <c r="G138" s="243">
        <f>SUM(管理者用グラフシート!H149:I150)-SUM(管理者用グラフシート!B97:C98)</f>
        <v>-2162</v>
      </c>
      <c r="H138" s="20" t="s">
        <v>60</v>
      </c>
    </row>
    <row r="139" spans="1:8" ht="22.5" customHeight="1" x14ac:dyDescent="0.15">
      <c r="A139" s="20" t="s">
        <v>389</v>
      </c>
      <c r="C139" s="206">
        <f>SUM(管理者用グラフシート!H151:I152)-SUM(管理者用グラフシート!B99:C100)</f>
        <v>-1283</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4" t="str">
        <f>管理者入力シート!B4</f>
        <v>恒富地区</v>
      </c>
      <c r="B2" s="274"/>
      <c r="C2" s="274"/>
      <c r="D2" s="254" t="s">
        <v>249</v>
      </c>
      <c r="E2" s="254"/>
      <c r="F2" s="254"/>
      <c r="G2" s="254"/>
      <c r="H2" s="254"/>
      <c r="I2" s="254"/>
    </row>
    <row r="3" spans="1:9" ht="31.5" customHeight="1" x14ac:dyDescent="0.15">
      <c r="A3" s="274"/>
      <c r="B3" s="274"/>
      <c r="C3" s="274"/>
      <c r="D3" s="254"/>
      <c r="E3" s="254"/>
      <c r="F3" s="254"/>
      <c r="G3" s="254"/>
      <c r="H3" s="254"/>
      <c r="I3" s="254"/>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8" t="s">
        <v>254</v>
      </c>
      <c r="B15" s="278"/>
      <c r="C15" s="278"/>
      <c r="D15" s="279" t="s">
        <v>258</v>
      </c>
      <c r="E15" s="280"/>
      <c r="F15" s="275" t="s">
        <v>257</v>
      </c>
      <c r="G15" s="276"/>
      <c r="H15" s="277"/>
    </row>
    <row r="16" spans="1:9" ht="17.25" customHeight="1" x14ac:dyDescent="0.15">
      <c r="A16" s="124" t="s">
        <v>254</v>
      </c>
      <c r="B16" s="124" t="s">
        <v>21</v>
      </c>
      <c r="C16" s="124" t="s">
        <v>22</v>
      </c>
      <c r="D16" s="279"/>
      <c r="E16" s="280"/>
      <c r="F16" s="126"/>
      <c r="G16" s="127" t="s">
        <v>21</v>
      </c>
      <c r="H16" s="128" t="s">
        <v>22</v>
      </c>
    </row>
    <row r="17" spans="1:9" ht="18.75" customHeight="1" x14ac:dyDescent="0.15">
      <c r="A17" s="125" t="s">
        <v>0</v>
      </c>
      <c r="B17" s="116">
        <v>1</v>
      </c>
      <c r="C17" s="116">
        <v>1</v>
      </c>
      <c r="D17" s="279"/>
      <c r="E17" s="280"/>
      <c r="F17" s="119" t="s">
        <v>0</v>
      </c>
      <c r="G17" s="116">
        <v>1</v>
      </c>
      <c r="H17" s="118">
        <v>1</v>
      </c>
    </row>
    <row r="18" spans="1:9" ht="18.75" customHeight="1" x14ac:dyDescent="0.15">
      <c r="A18" s="125" t="s">
        <v>1</v>
      </c>
      <c r="B18" s="116"/>
      <c r="C18" s="116"/>
      <c r="D18" s="279"/>
      <c r="E18" s="280"/>
      <c r="F18" s="119" t="s">
        <v>1</v>
      </c>
      <c r="G18" s="116"/>
      <c r="H18" s="118"/>
    </row>
    <row r="19" spans="1:9" ht="18.75" customHeight="1" x14ac:dyDescent="0.15">
      <c r="A19" s="125" t="s">
        <v>2</v>
      </c>
      <c r="B19" s="73">
        <v>1</v>
      </c>
      <c r="C19" s="73">
        <v>1</v>
      </c>
      <c r="D19" s="279"/>
      <c r="E19" s="280"/>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64">
        <f>管理者入力シート!B5</f>
        <v>2020</v>
      </c>
      <c r="C31" s="264"/>
      <c r="D31" s="83" t="s">
        <v>412</v>
      </c>
      <c r="E31" s="131"/>
      <c r="F31" s="131"/>
      <c r="G31" s="131"/>
      <c r="H31" s="131"/>
      <c r="I31" s="237"/>
    </row>
    <row r="32" spans="1:9" s="131" customFormat="1" ht="17.25" customHeight="1" x14ac:dyDescent="0.15">
      <c r="A32" s="159" t="s">
        <v>409</v>
      </c>
      <c r="B32" s="263">
        <f>管理者入力シート!B5</f>
        <v>2020</v>
      </c>
      <c r="C32" s="263"/>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1" t="s">
        <v>257</v>
      </c>
      <c r="C35" s="272"/>
      <c r="D35" s="273"/>
      <c r="F35" s="162"/>
      <c r="G35" s="240"/>
      <c r="H35" s="265" t="s">
        <v>410</v>
      </c>
      <c r="I35" s="266"/>
    </row>
    <row r="36" spans="1:9" s="132" customFormat="1" ht="17.25" customHeight="1" x14ac:dyDescent="0.15">
      <c r="A36" s="160"/>
      <c r="B36" s="215"/>
      <c r="C36" s="127" t="s">
        <v>21</v>
      </c>
      <c r="D36" s="216" t="s">
        <v>22</v>
      </c>
      <c r="F36" s="162"/>
      <c r="G36" s="238">
        <f>管理者入力シート!B8</f>
        <v>2025</v>
      </c>
      <c r="H36" s="267">
        <f>管理者用人口入力シート!EU22</f>
        <v>34639</v>
      </c>
      <c r="I36" s="268"/>
    </row>
    <row r="37" spans="1:9" s="130" customFormat="1" ht="17.25" customHeight="1" x14ac:dyDescent="0.15">
      <c r="A37" s="165"/>
      <c r="B37" s="226" t="s">
        <v>5</v>
      </c>
      <c r="C37" s="227">
        <f>管理者用人口入力シート!DX1</f>
        <v>343</v>
      </c>
      <c r="D37" s="228">
        <f>C37</f>
        <v>343</v>
      </c>
      <c r="F37" s="162"/>
      <c r="G37" s="238">
        <f>管理者入力シート!B9</f>
        <v>2030</v>
      </c>
      <c r="H37" s="267">
        <f>管理者用人口入力シート!EU25</f>
        <v>34879</v>
      </c>
      <c r="I37" s="268"/>
    </row>
    <row r="38" spans="1:9" s="132" customFormat="1" ht="17.25" customHeight="1" x14ac:dyDescent="0.15">
      <c r="A38" s="160"/>
      <c r="B38" s="226" t="s">
        <v>6</v>
      </c>
      <c r="C38" s="227">
        <f>C37</f>
        <v>343</v>
      </c>
      <c r="D38" s="228">
        <f>C37</f>
        <v>343</v>
      </c>
      <c r="F38" s="162"/>
      <c r="G38" s="238">
        <f>管理者入力シート!B10</f>
        <v>2035</v>
      </c>
      <c r="H38" s="267">
        <f>管理者用人口入力シート!EU28</f>
        <v>35145</v>
      </c>
      <c r="I38" s="268"/>
    </row>
    <row r="39" spans="1:9" ht="17.25" customHeight="1" thickBot="1" x14ac:dyDescent="0.2">
      <c r="A39" s="166"/>
      <c r="B39" s="229" t="s">
        <v>7</v>
      </c>
      <c r="C39" s="230">
        <f>C37</f>
        <v>343</v>
      </c>
      <c r="D39" s="231">
        <f>C37</f>
        <v>343</v>
      </c>
      <c r="F39" s="162"/>
      <c r="G39" s="239">
        <f>管理者入力シート!B11</f>
        <v>2040</v>
      </c>
      <c r="H39" s="269">
        <f>管理者用人口入力シート!EU31</f>
        <v>35336</v>
      </c>
      <c r="I39" s="270"/>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50">
        <f>管理者入力シート!B9</f>
        <v>2030</v>
      </c>
      <c r="B43" s="250"/>
      <c r="C43" s="20" t="s">
        <v>417</v>
      </c>
      <c r="D43" s="251">
        <f>管理者用グラフシート!U8</f>
        <v>30120</v>
      </c>
      <c r="E43" s="251"/>
      <c r="F43" s="20" t="s">
        <v>231</v>
      </c>
      <c r="H43" s="34"/>
      <c r="I43" s="34"/>
    </row>
    <row r="44" spans="1:9" ht="22.5" customHeight="1" x14ac:dyDescent="0.15">
      <c r="A44" s="250">
        <f>管理者入力シート!B11</f>
        <v>2040</v>
      </c>
      <c r="B44" s="250"/>
      <c r="C44" s="20" t="s">
        <v>417</v>
      </c>
      <c r="D44" s="251">
        <f>管理者用グラフシート!U10</f>
        <v>25279</v>
      </c>
      <c r="E44" s="251"/>
      <c r="F44" s="20" t="s">
        <v>231</v>
      </c>
      <c r="H44" s="34"/>
      <c r="I44" s="34"/>
    </row>
    <row r="45" spans="1:9" ht="22.5" customHeight="1" x14ac:dyDescent="0.15">
      <c r="A45" s="20" t="s">
        <v>121</v>
      </c>
    </row>
    <row r="46" spans="1:9" ht="22.5" customHeight="1" x14ac:dyDescent="0.15">
      <c r="A46" s="250">
        <f>管理者入力シート!B9</f>
        <v>2030</v>
      </c>
      <c r="B46" s="250"/>
      <c r="C46" s="20" t="s">
        <v>418</v>
      </c>
      <c r="D46" s="258">
        <f>D43-将来予測シート①!D6</f>
        <v>20</v>
      </c>
      <c r="E46" s="258"/>
      <c r="F46" s="20" t="s">
        <v>122</v>
      </c>
    </row>
    <row r="47" spans="1:9" ht="22.5" customHeight="1" x14ac:dyDescent="0.15">
      <c r="A47" s="250">
        <f>管理者入力シート!B11</f>
        <v>2040</v>
      </c>
      <c r="B47" s="250"/>
      <c r="C47" s="20" t="s">
        <v>418</v>
      </c>
      <c r="D47" s="258">
        <f>D44-将来予測シート①!D10</f>
        <v>39</v>
      </c>
      <c r="E47" s="258"/>
      <c r="F47" s="20" t="s">
        <v>123</v>
      </c>
    </row>
    <row r="76" spans="1:9" s="39" customFormat="1" ht="40.5" customHeight="1" x14ac:dyDescent="0.15">
      <c r="A76" s="108" t="s">
        <v>68</v>
      </c>
      <c r="I76" s="115"/>
    </row>
    <row r="77" spans="1:9" ht="22.5" customHeight="1" x14ac:dyDescent="0.15">
      <c r="A77" s="250">
        <f>管理者用グラフシート!O20</f>
        <v>2040</v>
      </c>
      <c r="B77" s="250"/>
      <c r="C77" s="20" t="s">
        <v>263</v>
      </c>
      <c r="F77" s="36"/>
      <c r="G77" s="36"/>
      <c r="H77" s="67"/>
      <c r="I77" s="34"/>
    </row>
    <row r="78" spans="1:9" ht="22.5" customHeight="1" x14ac:dyDescent="0.15">
      <c r="A78" s="20" t="s">
        <v>237</v>
      </c>
      <c r="E78" s="34"/>
      <c r="F78" s="251">
        <f>管理者用グラフシート!Q20</f>
        <v>1105</v>
      </c>
      <c r="G78" s="251"/>
      <c r="H78" s="82" t="s">
        <v>264</v>
      </c>
      <c r="I78" s="34"/>
    </row>
    <row r="79" spans="1:9" ht="22.5" customHeight="1" x14ac:dyDescent="0.15">
      <c r="A79" s="20" t="s">
        <v>234</v>
      </c>
      <c r="F79" s="251">
        <f>管理者用グラフシート!Q28</f>
        <v>551</v>
      </c>
      <c r="G79" s="251"/>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2">
        <f>F78-将来予測シート①!F36</f>
        <v>6</v>
      </c>
      <c r="D82" s="252"/>
      <c r="E82" s="20" t="s">
        <v>60</v>
      </c>
    </row>
    <row r="83" spans="1:13" ht="22.5" customHeight="1" x14ac:dyDescent="0.15">
      <c r="A83" s="20" t="s">
        <v>69</v>
      </c>
      <c r="C83" s="252">
        <f>F79-将来予測シート①!F37</f>
        <v>3</v>
      </c>
      <c r="D83" s="252"/>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50">
        <f>管理者用グラフシート!O38</f>
        <v>2040</v>
      </c>
      <c r="B111" s="250"/>
      <c r="C111" s="20" t="s">
        <v>371</v>
      </c>
      <c r="F111" s="36"/>
      <c r="G111" s="36"/>
      <c r="H111" s="67"/>
      <c r="I111" s="34"/>
    </row>
    <row r="112" spans="1:9" ht="22.5" customHeight="1" x14ac:dyDescent="0.15">
      <c r="A112" s="20" t="s">
        <v>269</v>
      </c>
      <c r="C112" s="251">
        <f>管理者用グラフシート!Q38</f>
        <v>9683</v>
      </c>
      <c r="D112" s="251"/>
      <c r="E112" s="20" t="s">
        <v>270</v>
      </c>
      <c r="F112" s="36"/>
      <c r="G112" s="111">
        <f>管理者用グラフシート!Q56</f>
        <v>0.38</v>
      </c>
      <c r="H112" s="82" t="s">
        <v>271</v>
      </c>
      <c r="I112" s="34"/>
    </row>
    <row r="113" spans="1:9" ht="22.5" customHeight="1" x14ac:dyDescent="0.15">
      <c r="A113" s="20" t="s">
        <v>268</v>
      </c>
      <c r="C113" s="251">
        <f>管理者用グラフシート!Q46</f>
        <v>5785</v>
      </c>
      <c r="D113" s="251"/>
      <c r="E113" s="82" t="s">
        <v>270</v>
      </c>
      <c r="F113" s="34"/>
      <c r="G113" s="111">
        <f>管理者用グラフシート!Q64</f>
        <v>0.23</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1"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1"/>
      <c r="G116" s="251"/>
      <c r="H116" s="20" t="s">
        <v>82</v>
      </c>
    </row>
    <row r="117" spans="1:9" ht="22.5" customHeight="1" x14ac:dyDescent="0.15">
      <c r="B117" s="20" t="s">
        <v>83</v>
      </c>
      <c r="D117" s="37"/>
      <c r="E117" s="257"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7"/>
      <c r="G117" s="257"/>
      <c r="H117" s="20" t="s">
        <v>77</v>
      </c>
    </row>
    <row r="143" spans="1:9" s="113" customFormat="1" ht="46.5" customHeight="1" x14ac:dyDescent="0.15">
      <c r="A143" s="108" t="s">
        <v>112</v>
      </c>
      <c r="I143" s="114"/>
    </row>
    <row r="144" spans="1:9" ht="22.5" customHeight="1" x14ac:dyDescent="0.15">
      <c r="A144" s="250">
        <f>管理者用グラフシート!O91</f>
        <v>2030</v>
      </c>
      <c r="B144" s="250"/>
      <c r="C144" s="20" t="s">
        <v>364</v>
      </c>
    </row>
    <row r="177" spans="1:9" ht="22.5" customHeight="1" x14ac:dyDescent="0.15">
      <c r="A177" s="250">
        <f>管理者用グラフシート!O139</f>
        <v>2040</v>
      </c>
      <c r="B177" s="250"/>
      <c r="C177" s="20" t="s">
        <v>364</v>
      </c>
    </row>
    <row r="178" spans="1:9" ht="22.5" customHeight="1" x14ac:dyDescent="0.15">
      <c r="E178" s="261"/>
      <c r="F178" s="261"/>
      <c r="G178" s="261"/>
      <c r="H178" s="261"/>
      <c r="I178" s="261"/>
    </row>
    <row r="210" spans="1:9" ht="22.5" customHeight="1" x14ac:dyDescent="0.15">
      <c r="A210" s="20" t="s">
        <v>274</v>
      </c>
      <c r="B210" s="250">
        <f>管理者用グラフシート!O212</f>
        <v>2030</v>
      </c>
      <c r="C210" s="250"/>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50">
        <f>管理者用グラフシート!O236</f>
        <v>2040</v>
      </c>
      <c r="C245" s="250"/>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450</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5" t="str">
        <f>管理者入力シート!B4</f>
        <v>恒富地区</v>
      </c>
      <c r="B1" s="255"/>
      <c r="C1" s="255"/>
      <c r="D1" s="254" t="s">
        <v>278</v>
      </c>
      <c r="E1" s="254"/>
      <c r="F1" s="254"/>
      <c r="G1" s="254"/>
      <c r="H1" s="254"/>
    </row>
    <row r="2" spans="1:8" ht="22.5" customHeight="1" x14ac:dyDescent="0.15">
      <c r="A2" s="255"/>
      <c r="B2" s="255"/>
      <c r="C2" s="255"/>
      <c r="D2" s="254"/>
      <c r="E2" s="254"/>
      <c r="F2" s="254"/>
      <c r="G2" s="254"/>
      <c r="H2" s="254"/>
    </row>
    <row r="3" spans="1:8" ht="22.5" customHeight="1" x14ac:dyDescent="0.15">
      <c r="A3" s="20" t="s">
        <v>279</v>
      </c>
    </row>
    <row r="5" spans="1:8" s="113" customFormat="1" ht="40.5" customHeight="1" x14ac:dyDescent="0.15">
      <c r="A5" s="108" t="s">
        <v>280</v>
      </c>
    </row>
    <row r="6" spans="1:8" ht="22.5" customHeight="1" x14ac:dyDescent="0.15">
      <c r="A6" s="250">
        <f>管理者用グラフシート!B6</f>
        <v>2020</v>
      </c>
      <c r="B6" s="250"/>
      <c r="C6" s="20" t="s">
        <v>419</v>
      </c>
    </row>
    <row r="7" spans="1:8" ht="22.5" customHeight="1" x14ac:dyDescent="0.15">
      <c r="A7" s="20" t="s">
        <v>281</v>
      </c>
      <c r="F7" s="281">
        <f>管理者用地域特徴シート!H5</f>
        <v>0.4495082599472906</v>
      </c>
      <c r="G7" s="281"/>
      <c r="H7" s="20" t="s">
        <v>282</v>
      </c>
    </row>
    <row r="8" spans="1:8" ht="22.5" customHeight="1" x14ac:dyDescent="0.15">
      <c r="A8" s="34" t="str">
        <f>管理者入力シート!B3</f>
        <v>延岡市</v>
      </c>
      <c r="B8" s="20" t="s">
        <v>293</v>
      </c>
      <c r="D8" s="34" t="str">
        <f>IF(管理者用地域特徴シート!H5-管理者用地域特徴シート!H4&gt;0.01,"高く、",IF(管理者用地域特徴シート!H5-管理者用地域特徴シート!H4&lt;-0.01,"低く、","同程度で、"))</f>
        <v>低く、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低くなっています。</v>
      </c>
    </row>
    <row r="10" spans="1:8" ht="22.5" customHeight="1" x14ac:dyDescent="0.15">
      <c r="A10" s="20" t="s">
        <v>415</v>
      </c>
    </row>
    <row r="11" spans="1:8" ht="22.5" customHeight="1" x14ac:dyDescent="0.15">
      <c r="A11" s="253" t="str">
        <f>地域特徴シート!A1</f>
        <v>恒富地区</v>
      </c>
      <c r="B11" s="253"/>
      <c r="C11" s="258">
        <f>管理者用地域特徴シート!D5</f>
        <v>15557</v>
      </c>
      <c r="D11" s="253"/>
      <c r="E11" s="20" t="s">
        <v>413</v>
      </c>
    </row>
    <row r="12" spans="1:8" ht="22.5" customHeight="1" x14ac:dyDescent="0.15">
      <c r="A12" s="253" t="str">
        <f>A8</f>
        <v>延岡市</v>
      </c>
      <c r="B12" s="253"/>
      <c r="C12" s="258">
        <f>管理者用地域特徴シート!D4</f>
        <v>51424</v>
      </c>
      <c r="D12" s="253"/>
      <c r="E12" s="20" t="s">
        <v>413</v>
      </c>
    </row>
    <row r="13" spans="1:8" ht="22.5" customHeight="1" x14ac:dyDescent="0.15">
      <c r="A13" s="253" t="s">
        <v>414</v>
      </c>
      <c r="B13" s="253"/>
      <c r="C13" s="258">
        <f>管理者用地域特徴シート!D3</f>
        <v>468575.00000000006</v>
      </c>
      <c r="D13" s="253"/>
      <c r="E13" s="20" t="s">
        <v>416</v>
      </c>
    </row>
    <row r="23" spans="1:8" ht="22.5" customHeight="1" x14ac:dyDescent="0.15">
      <c r="A23" s="20" t="s">
        <v>285</v>
      </c>
      <c r="G23" s="241">
        <f>管理者用地域特徴シート!J5</f>
        <v>0.15260011570354182</v>
      </c>
      <c r="H23" s="35" t="s">
        <v>286</v>
      </c>
    </row>
    <row r="24" spans="1:8" ht="22.5" customHeight="1" x14ac:dyDescent="0.15">
      <c r="A24" s="34" t="str">
        <f>管理者入力シート!B3</f>
        <v>延岡市</v>
      </c>
      <c r="B24" s="20" t="s">
        <v>293</v>
      </c>
      <c r="D24" s="152" t="str">
        <f>IF(管理者用地域特徴シート!J5-管理者用地域特徴シート!J4&gt;0.01,"高く、",IF(管理者用地域特徴シート!J5-管理者用地域特徴シート!J4&lt;-0.01,"低く、","同程度で、"))</f>
        <v>同程度で、</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同程度です。</v>
      </c>
    </row>
    <row r="35" spans="1:8" s="113" customFormat="1" ht="40.5" customHeight="1" x14ac:dyDescent="0.15">
      <c r="A35" s="108" t="s">
        <v>206</v>
      </c>
    </row>
    <row r="36" spans="1:8" ht="22.5" customHeight="1" x14ac:dyDescent="0.15">
      <c r="A36" s="250">
        <f>管理者用グラフシート!B36</f>
        <v>2020</v>
      </c>
      <c r="B36" s="250"/>
      <c r="C36" s="20" t="s">
        <v>420</v>
      </c>
    </row>
    <row r="37" spans="1:8" ht="22.5" customHeight="1" x14ac:dyDescent="0.15">
      <c r="A37" s="20" t="s">
        <v>287</v>
      </c>
      <c r="F37" s="281">
        <f>管理者用地域特徴シート!P5</f>
        <v>0.3720704241454213</v>
      </c>
      <c r="G37" s="281"/>
      <c r="H37" s="20" t="s">
        <v>286</v>
      </c>
    </row>
    <row r="38" spans="1:8" ht="22.5" customHeight="1" x14ac:dyDescent="0.15">
      <c r="A38" s="34" t="str">
        <f>管理者入力シート!B3</f>
        <v>延岡市</v>
      </c>
      <c r="B38" s="20" t="s">
        <v>293</v>
      </c>
      <c r="D38" s="152" t="str">
        <f>IF(管理者用地域特徴シート!P5-管理者用地域特徴シート!P4&gt;0.01,"高く、",IF(管理者用地域特徴シート!P5-管理者用地域特徴シート!P4&lt;-0.01,"低く、","同程度で、"))</f>
        <v>高く、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高くなっています。</v>
      </c>
    </row>
    <row r="40" spans="1:8" ht="22.5" customHeight="1" x14ac:dyDescent="0.15">
      <c r="D40" s="34"/>
    </row>
    <row r="41" spans="1:8" ht="22.5" customHeight="1" x14ac:dyDescent="0.15">
      <c r="A41" s="34" t="str">
        <f>管理者入力シート!B3</f>
        <v>延岡市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新しい居住者の割合が高い地域です。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新しい居住者の割合が高い地域です。</v>
      </c>
    </row>
    <row r="69" spans="1:8" s="113" customFormat="1" ht="40.5" customHeight="1" x14ac:dyDescent="0.15">
      <c r="A69" s="108" t="s">
        <v>207</v>
      </c>
    </row>
    <row r="70" spans="1:8" ht="22.5" customHeight="1" x14ac:dyDescent="0.15">
      <c r="A70" s="20" t="s">
        <v>289</v>
      </c>
      <c r="B70" s="34"/>
      <c r="E70" s="283">
        <f>管理者用地域特徴シート!W5</f>
        <v>7841</v>
      </c>
      <c r="F70" s="283"/>
      <c r="G70" s="20" t="s">
        <v>290</v>
      </c>
    </row>
    <row r="71" spans="1:8" ht="22.5" customHeight="1" x14ac:dyDescent="0.15">
      <c r="A71" s="20" t="s">
        <v>295</v>
      </c>
      <c r="F71" s="281">
        <f>管理者用地域特徴シート!AK5</f>
        <v>0.14640989669684989</v>
      </c>
      <c r="G71" s="281"/>
      <c r="H71" s="20" t="s">
        <v>271</v>
      </c>
    </row>
    <row r="72" spans="1:8" ht="22.5" customHeight="1" x14ac:dyDescent="0.15">
      <c r="A72" s="20" t="s">
        <v>296</v>
      </c>
      <c r="F72" s="281">
        <f>管理者用地域特徴シート!AL5</f>
        <v>0.18683841346766994</v>
      </c>
      <c r="G72" s="281"/>
      <c r="H72" s="20" t="s">
        <v>297</v>
      </c>
    </row>
    <row r="73" spans="1:8" ht="22.5" customHeight="1" x14ac:dyDescent="0.15">
      <c r="A73" s="20" t="s">
        <v>298</v>
      </c>
      <c r="E73" s="281"/>
      <c r="F73" s="281"/>
    </row>
    <row r="74" spans="1:8" ht="22.5" customHeight="1" x14ac:dyDescent="0.15">
      <c r="A74" s="20" t="s">
        <v>339</v>
      </c>
      <c r="C74" s="177">
        <f>管理者用地域特徴シート!AN5</f>
        <v>0.50019130212983043</v>
      </c>
      <c r="D74" s="156" t="s">
        <v>299</v>
      </c>
      <c r="E74" s="177">
        <f>管理者用地域特徴シート!AO5</f>
        <v>0.49980869787016963</v>
      </c>
      <c r="F74" s="20" t="s">
        <v>291</v>
      </c>
    </row>
    <row r="76" spans="1:8" ht="22.5" customHeight="1" x14ac:dyDescent="0.15">
      <c r="A76" s="34" t="str">
        <f>管理者入力シート!B3</f>
        <v>延岡市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50">
        <f>管理者入力シート!B5</f>
        <v>2020</v>
      </c>
      <c r="B104" s="250"/>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50">
        <f>管理者入力シート!B5</f>
        <v>2020</v>
      </c>
      <c r="B138" s="250"/>
      <c r="C138" s="20" t="s">
        <v>422</v>
      </c>
    </row>
    <row r="139" spans="1:8" ht="22.5" customHeight="1" x14ac:dyDescent="0.15">
      <c r="A139" s="20" t="s">
        <v>315</v>
      </c>
      <c r="C139" s="281">
        <f>管理者用地域特徴シート!CK5</f>
        <v>0.90477366763416289</v>
      </c>
      <c r="D139" s="281"/>
      <c r="E139" s="20" t="s">
        <v>316</v>
      </c>
      <c r="F139" s="157" t="str">
        <f>管理者入力シート!B3</f>
        <v>延岡市</v>
      </c>
      <c r="G139" s="158" t="s">
        <v>317</v>
      </c>
    </row>
    <row r="140" spans="1:8" ht="22.5" customHeight="1" x14ac:dyDescent="0.15">
      <c r="A140" s="20" t="s">
        <v>318</v>
      </c>
    </row>
    <row r="141" spans="1:8" ht="22.5" customHeight="1" x14ac:dyDescent="0.15">
      <c r="C141" s="281">
        <f>管理者用地域特徴シート!CN5</f>
        <v>0.85155626496408621</v>
      </c>
      <c r="D141" s="281"/>
      <c r="E141" s="20" t="s">
        <v>316</v>
      </c>
      <c r="F141" s="157" t="str">
        <f>管理者入力シート!B3</f>
        <v>延岡市</v>
      </c>
      <c r="G141" s="158" t="s">
        <v>317</v>
      </c>
    </row>
    <row r="142" spans="1:8" ht="22.5" customHeight="1" x14ac:dyDescent="0.15">
      <c r="A142" s="282" t="s">
        <v>319</v>
      </c>
      <c r="B142" s="282"/>
      <c r="C142" s="282"/>
      <c r="D142" s="282"/>
      <c r="E142" s="282"/>
      <c r="F142" s="282"/>
      <c r="G142" s="282"/>
      <c r="H142" s="282"/>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449</v>
      </c>
    </row>
    <row r="3" spans="1:3" x14ac:dyDescent="0.15">
      <c r="A3" s="203" t="s">
        <v>292</v>
      </c>
      <c r="B3" s="32" t="str">
        <f>管理者用地域特徴シート!B5</f>
        <v>延岡市</v>
      </c>
    </row>
    <row r="4" spans="1:3" x14ac:dyDescent="0.15">
      <c r="A4" s="153" t="s">
        <v>24</v>
      </c>
      <c r="B4" s="154" t="str">
        <f>管理者用地域特徴シート!C5</f>
        <v>恒富地区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45203_3</v>
      </c>
      <c r="B1" s="24" t="s">
        <v>44</v>
      </c>
      <c r="C1" s="25"/>
      <c r="D1" s="294" t="s">
        <v>0</v>
      </c>
      <c r="E1" s="294" t="s">
        <v>1</v>
      </c>
      <c r="F1" s="294" t="s">
        <v>2</v>
      </c>
      <c r="G1" s="294" t="s">
        <v>3</v>
      </c>
      <c r="H1" s="294" t="s">
        <v>4</v>
      </c>
      <c r="I1" s="294" t="s">
        <v>5</v>
      </c>
      <c r="J1" s="294" t="s">
        <v>6</v>
      </c>
      <c r="K1" s="294" t="s">
        <v>7</v>
      </c>
      <c r="L1" s="294" t="s">
        <v>8</v>
      </c>
      <c r="M1" s="294" t="s">
        <v>9</v>
      </c>
      <c r="N1" s="294" t="s">
        <v>10</v>
      </c>
      <c r="O1" s="294" t="s">
        <v>11</v>
      </c>
      <c r="P1" s="294" t="s">
        <v>12</v>
      </c>
      <c r="Q1" s="294" t="s">
        <v>13</v>
      </c>
      <c r="R1" s="294" t="s">
        <v>14</v>
      </c>
      <c r="S1" s="294" t="s">
        <v>15</v>
      </c>
      <c r="T1" s="294" t="s">
        <v>16</v>
      </c>
      <c r="U1" s="294" t="s">
        <v>17</v>
      </c>
      <c r="V1" s="294" t="s">
        <v>18</v>
      </c>
      <c r="W1" s="294" t="s">
        <v>19</v>
      </c>
      <c r="X1" s="294" t="s">
        <v>20</v>
      </c>
      <c r="Y1" s="294" t="s">
        <v>23</v>
      </c>
      <c r="Z1" s="295" t="s">
        <v>50</v>
      </c>
      <c r="AA1" s="295" t="s">
        <v>51</v>
      </c>
      <c r="AB1" s="298" t="s">
        <v>79</v>
      </c>
      <c r="AC1" s="298" t="s">
        <v>80</v>
      </c>
      <c r="AD1" s="295" t="s">
        <v>48</v>
      </c>
      <c r="AE1" s="295" t="s">
        <v>49</v>
      </c>
      <c r="AF1" s="295" t="s">
        <v>97</v>
      </c>
      <c r="AH1" s="7"/>
      <c r="AI1" s="42" t="s">
        <v>25</v>
      </c>
      <c r="AJ1" s="40" t="s">
        <v>90</v>
      </c>
      <c r="AK1" s="41"/>
      <c r="AL1" s="297" t="s">
        <v>89</v>
      </c>
      <c r="AM1" s="296" t="s">
        <v>27</v>
      </c>
      <c r="AN1" s="296" t="s">
        <v>28</v>
      </c>
      <c r="AO1" s="296" t="s">
        <v>26</v>
      </c>
      <c r="AP1" s="296" t="s">
        <v>29</v>
      </c>
      <c r="AQ1" s="296" t="s">
        <v>30</v>
      </c>
      <c r="AR1" s="296" t="s">
        <v>31</v>
      </c>
      <c r="AS1" s="296" t="s">
        <v>32</v>
      </c>
      <c r="AT1" s="296" t="s">
        <v>33</v>
      </c>
      <c r="AU1" s="296" t="s">
        <v>34</v>
      </c>
      <c r="AV1" s="296" t="s">
        <v>35</v>
      </c>
      <c r="AW1" s="296" t="s">
        <v>36</v>
      </c>
      <c r="AX1" s="296" t="s">
        <v>37</v>
      </c>
      <c r="AY1" s="296" t="s">
        <v>38</v>
      </c>
      <c r="AZ1" s="296" t="s">
        <v>39</v>
      </c>
      <c r="BA1" s="296" t="s">
        <v>40</v>
      </c>
      <c r="BB1" s="296" t="s">
        <v>45</v>
      </c>
      <c r="BC1" s="296" t="s">
        <v>41</v>
      </c>
      <c r="BD1" s="296" t="s">
        <v>42</v>
      </c>
      <c r="BE1" s="296" t="s">
        <v>46</v>
      </c>
      <c r="BF1" s="296" t="s">
        <v>43</v>
      </c>
      <c r="BI1" s="56" t="s">
        <v>44</v>
      </c>
      <c r="BJ1" s="57"/>
      <c r="BK1" s="300" t="s">
        <v>0</v>
      </c>
      <c r="BL1" s="300" t="s">
        <v>1</v>
      </c>
      <c r="BM1" s="300" t="s">
        <v>2</v>
      </c>
      <c r="BN1" s="300" t="s">
        <v>3</v>
      </c>
      <c r="BO1" s="300" t="s">
        <v>4</v>
      </c>
      <c r="BP1" s="300" t="s">
        <v>5</v>
      </c>
      <c r="BQ1" s="300" t="s">
        <v>6</v>
      </c>
      <c r="BR1" s="300" t="s">
        <v>7</v>
      </c>
      <c r="BS1" s="300" t="s">
        <v>8</v>
      </c>
      <c r="BT1" s="300" t="s">
        <v>9</v>
      </c>
      <c r="BU1" s="300" t="s">
        <v>10</v>
      </c>
      <c r="BV1" s="300" t="s">
        <v>11</v>
      </c>
      <c r="BW1" s="300" t="s">
        <v>12</v>
      </c>
      <c r="BX1" s="300" t="s">
        <v>13</v>
      </c>
      <c r="BY1" s="300" t="s">
        <v>14</v>
      </c>
      <c r="BZ1" s="300" t="s">
        <v>15</v>
      </c>
      <c r="CA1" s="300" t="s">
        <v>16</v>
      </c>
      <c r="CB1" s="300" t="s">
        <v>17</v>
      </c>
      <c r="CC1" s="300" t="s">
        <v>18</v>
      </c>
      <c r="CD1" s="300" t="s">
        <v>19</v>
      </c>
      <c r="CE1" s="300" t="s">
        <v>20</v>
      </c>
      <c r="CF1" s="300" t="s">
        <v>23</v>
      </c>
      <c r="CG1" s="301" t="s">
        <v>50</v>
      </c>
      <c r="CH1" s="301" t="s">
        <v>51</v>
      </c>
      <c r="CI1" s="303" t="s">
        <v>79</v>
      </c>
      <c r="CJ1" s="303" t="s">
        <v>80</v>
      </c>
      <c r="CK1" s="301" t="s">
        <v>48</v>
      </c>
      <c r="CL1" s="301" t="s">
        <v>49</v>
      </c>
      <c r="CM1" s="301" t="s">
        <v>97</v>
      </c>
      <c r="CP1" s="74" t="s">
        <v>44</v>
      </c>
      <c r="CQ1" s="75"/>
      <c r="CR1" s="302" t="s">
        <v>0</v>
      </c>
      <c r="CS1" s="302" t="s">
        <v>1</v>
      </c>
      <c r="CT1" s="302" t="s">
        <v>2</v>
      </c>
      <c r="CU1" s="302" t="s">
        <v>3</v>
      </c>
      <c r="CV1" s="302" t="s">
        <v>4</v>
      </c>
      <c r="CW1" s="302" t="s">
        <v>5</v>
      </c>
      <c r="CX1" s="302" t="s">
        <v>6</v>
      </c>
      <c r="CY1" s="302" t="s">
        <v>7</v>
      </c>
      <c r="CZ1" s="302" t="s">
        <v>8</v>
      </c>
      <c r="DA1" s="302" t="s">
        <v>9</v>
      </c>
      <c r="DB1" s="302" t="s">
        <v>10</v>
      </c>
      <c r="DC1" s="302" t="s">
        <v>11</v>
      </c>
      <c r="DD1" s="302" t="s">
        <v>12</v>
      </c>
      <c r="DE1" s="302" t="s">
        <v>13</v>
      </c>
      <c r="DF1" s="302" t="s">
        <v>14</v>
      </c>
      <c r="DG1" s="302" t="s">
        <v>15</v>
      </c>
      <c r="DH1" s="302" t="s">
        <v>16</v>
      </c>
      <c r="DI1" s="302" t="s">
        <v>17</v>
      </c>
      <c r="DJ1" s="302" t="s">
        <v>18</v>
      </c>
      <c r="DK1" s="302" t="s">
        <v>19</v>
      </c>
      <c r="DL1" s="302" t="s">
        <v>20</v>
      </c>
      <c r="DM1" s="302" t="s">
        <v>23</v>
      </c>
      <c r="DN1" s="305" t="s">
        <v>50</v>
      </c>
      <c r="DO1" s="305" t="s">
        <v>51</v>
      </c>
      <c r="DP1" s="306" t="s">
        <v>79</v>
      </c>
      <c r="DQ1" s="306" t="s">
        <v>80</v>
      </c>
      <c r="DR1" s="305" t="s">
        <v>48</v>
      </c>
      <c r="DS1" s="305" t="s">
        <v>49</v>
      </c>
      <c r="DT1" s="305" t="s">
        <v>97</v>
      </c>
      <c r="DV1" s="289" t="s">
        <v>451</v>
      </c>
      <c r="DW1" s="290"/>
      <c r="DX1" s="285">
        <f>DW17</f>
        <v>343</v>
      </c>
      <c r="DY1" s="286"/>
      <c r="DZ1" s="291" t="s">
        <v>0</v>
      </c>
      <c r="EA1" s="291" t="s">
        <v>1</v>
      </c>
      <c r="EB1" s="291" t="s">
        <v>2</v>
      </c>
      <c r="EC1" s="291" t="s">
        <v>3</v>
      </c>
      <c r="ED1" s="291" t="s">
        <v>4</v>
      </c>
      <c r="EE1" s="291" t="s">
        <v>5</v>
      </c>
      <c r="EF1" s="291" t="s">
        <v>6</v>
      </c>
      <c r="EG1" s="291" t="s">
        <v>7</v>
      </c>
      <c r="EH1" s="291" t="s">
        <v>8</v>
      </c>
      <c r="EI1" s="291" t="s">
        <v>9</v>
      </c>
      <c r="EJ1" s="291" t="s">
        <v>10</v>
      </c>
      <c r="EK1" s="291" t="s">
        <v>11</v>
      </c>
      <c r="EL1" s="291" t="s">
        <v>12</v>
      </c>
      <c r="EM1" s="291" t="s">
        <v>13</v>
      </c>
      <c r="EN1" s="291" t="s">
        <v>14</v>
      </c>
      <c r="EO1" s="291" t="s">
        <v>15</v>
      </c>
      <c r="EP1" s="291" t="s">
        <v>16</v>
      </c>
      <c r="EQ1" s="291" t="s">
        <v>17</v>
      </c>
      <c r="ER1" s="291" t="s">
        <v>18</v>
      </c>
      <c r="ES1" s="291" t="s">
        <v>19</v>
      </c>
      <c r="ET1" s="291" t="s">
        <v>20</v>
      </c>
      <c r="EU1" s="291" t="s">
        <v>23</v>
      </c>
      <c r="EV1" s="284" t="s">
        <v>50</v>
      </c>
      <c r="EW1" s="284" t="s">
        <v>51</v>
      </c>
      <c r="EX1" s="292" t="s">
        <v>79</v>
      </c>
      <c r="EY1" s="292" t="s">
        <v>80</v>
      </c>
      <c r="EZ1" s="284" t="s">
        <v>48</v>
      </c>
      <c r="FA1" s="284" t="s">
        <v>49</v>
      </c>
      <c r="FB1" s="284" t="s">
        <v>97</v>
      </c>
    </row>
    <row r="2" spans="1:158" x14ac:dyDescent="0.15">
      <c r="A2" s="7" t="s">
        <v>56</v>
      </c>
      <c r="B2" s="26"/>
      <c r="C2" s="27"/>
      <c r="D2" s="294"/>
      <c r="E2" s="294"/>
      <c r="F2" s="294"/>
      <c r="G2" s="294"/>
      <c r="H2" s="294"/>
      <c r="I2" s="294"/>
      <c r="J2" s="294"/>
      <c r="K2" s="294"/>
      <c r="L2" s="294"/>
      <c r="M2" s="294"/>
      <c r="N2" s="294"/>
      <c r="O2" s="294"/>
      <c r="P2" s="294"/>
      <c r="Q2" s="294"/>
      <c r="R2" s="294"/>
      <c r="S2" s="294"/>
      <c r="T2" s="294"/>
      <c r="U2" s="294"/>
      <c r="V2" s="294"/>
      <c r="W2" s="294"/>
      <c r="X2" s="294"/>
      <c r="Y2" s="294"/>
      <c r="Z2" s="295"/>
      <c r="AA2" s="295"/>
      <c r="AB2" s="299"/>
      <c r="AC2" s="299"/>
      <c r="AD2" s="295"/>
      <c r="AE2" s="295"/>
      <c r="AF2" s="295"/>
      <c r="AI2" s="43"/>
      <c r="AJ2" s="44"/>
      <c r="AK2" s="45"/>
      <c r="AL2" s="297"/>
      <c r="AM2" s="296"/>
      <c r="AN2" s="296"/>
      <c r="AO2" s="296"/>
      <c r="AP2" s="296"/>
      <c r="AQ2" s="296"/>
      <c r="AR2" s="296"/>
      <c r="AS2" s="296"/>
      <c r="AT2" s="296"/>
      <c r="AU2" s="296"/>
      <c r="AV2" s="296"/>
      <c r="AW2" s="296"/>
      <c r="AX2" s="296"/>
      <c r="AY2" s="296"/>
      <c r="AZ2" s="296"/>
      <c r="BA2" s="296"/>
      <c r="BB2" s="296"/>
      <c r="BC2" s="296"/>
      <c r="BD2" s="296"/>
      <c r="BE2" s="296"/>
      <c r="BF2" s="296"/>
      <c r="BH2" s="7" t="s">
        <v>56</v>
      </c>
      <c r="BI2" s="58" t="s">
        <v>116</v>
      </c>
      <c r="BJ2" s="59"/>
      <c r="BK2" s="300"/>
      <c r="BL2" s="300"/>
      <c r="BM2" s="300"/>
      <c r="BN2" s="300"/>
      <c r="BO2" s="300"/>
      <c r="BP2" s="300"/>
      <c r="BQ2" s="300"/>
      <c r="BR2" s="300"/>
      <c r="BS2" s="300"/>
      <c r="BT2" s="300"/>
      <c r="BU2" s="300"/>
      <c r="BV2" s="300"/>
      <c r="BW2" s="300"/>
      <c r="BX2" s="300"/>
      <c r="BY2" s="300"/>
      <c r="BZ2" s="300"/>
      <c r="CA2" s="300"/>
      <c r="CB2" s="300"/>
      <c r="CC2" s="300"/>
      <c r="CD2" s="300"/>
      <c r="CE2" s="300"/>
      <c r="CF2" s="300"/>
      <c r="CG2" s="301"/>
      <c r="CH2" s="301"/>
      <c r="CI2" s="304"/>
      <c r="CJ2" s="304"/>
      <c r="CK2" s="301"/>
      <c r="CL2" s="301"/>
      <c r="CM2" s="301"/>
      <c r="CO2" s="7" t="s">
        <v>56</v>
      </c>
      <c r="CP2" s="76" t="s">
        <v>117</v>
      </c>
      <c r="CQ2" s="77"/>
      <c r="CR2" s="302"/>
      <c r="CS2" s="302"/>
      <c r="CT2" s="302"/>
      <c r="CU2" s="302"/>
      <c r="CV2" s="302"/>
      <c r="CW2" s="302"/>
      <c r="CX2" s="302"/>
      <c r="CY2" s="302"/>
      <c r="CZ2" s="302"/>
      <c r="DA2" s="302"/>
      <c r="DB2" s="302"/>
      <c r="DC2" s="302"/>
      <c r="DD2" s="302"/>
      <c r="DE2" s="302"/>
      <c r="DF2" s="302"/>
      <c r="DG2" s="302"/>
      <c r="DH2" s="302"/>
      <c r="DI2" s="302"/>
      <c r="DJ2" s="302"/>
      <c r="DK2" s="302"/>
      <c r="DL2" s="302"/>
      <c r="DM2" s="302"/>
      <c r="DN2" s="305"/>
      <c r="DO2" s="305"/>
      <c r="DP2" s="307"/>
      <c r="DQ2" s="307"/>
      <c r="DR2" s="305"/>
      <c r="DS2" s="305"/>
      <c r="DT2" s="305"/>
      <c r="DV2" s="289"/>
      <c r="DW2" s="290"/>
      <c r="DX2" s="287"/>
      <c r="DY2" s="288"/>
      <c r="DZ2" s="291"/>
      <c r="EA2" s="291"/>
      <c r="EB2" s="291"/>
      <c r="EC2" s="291"/>
      <c r="ED2" s="291"/>
      <c r="EE2" s="291"/>
      <c r="EF2" s="291"/>
      <c r="EG2" s="291"/>
      <c r="EH2" s="291"/>
      <c r="EI2" s="291"/>
      <c r="EJ2" s="291"/>
      <c r="EK2" s="291"/>
      <c r="EL2" s="291"/>
      <c r="EM2" s="291"/>
      <c r="EN2" s="291"/>
      <c r="EO2" s="291"/>
      <c r="EP2" s="291"/>
      <c r="EQ2" s="291"/>
      <c r="ER2" s="291"/>
      <c r="ES2" s="291"/>
      <c r="ET2" s="291"/>
      <c r="EU2" s="291"/>
      <c r="EV2" s="284"/>
      <c r="EW2" s="284"/>
      <c r="EX2" s="293"/>
      <c r="EY2" s="293"/>
      <c r="EZ2" s="284"/>
      <c r="FA2" s="284"/>
      <c r="FB2" s="284"/>
    </row>
    <row r="3" spans="1:158" x14ac:dyDescent="0.15">
      <c r="A3" s="7" t="str">
        <f>B3&amp;"_"&amp;IF(C3="男性",1,IF(C3="女性",2,IF(C3="合計",3)))</f>
        <v>2005_1</v>
      </c>
      <c r="B3" s="28">
        <v>2005</v>
      </c>
      <c r="C3" s="3" t="s">
        <v>21</v>
      </c>
      <c r="D3" s="184">
        <v>1070.1516576774623</v>
      </c>
      <c r="E3" s="9">
        <v>1053.1075892743029</v>
      </c>
      <c r="F3" s="9">
        <v>1027.0826154750646</v>
      </c>
      <c r="G3" s="9">
        <v>942.07579049615288</v>
      </c>
      <c r="H3" s="9">
        <v>791.09808031492037</v>
      </c>
      <c r="I3" s="9">
        <v>1097.1443981493317</v>
      </c>
      <c r="J3" s="9">
        <v>1333.1498427954295</v>
      </c>
      <c r="K3" s="9">
        <v>1042.115794586028</v>
      </c>
      <c r="L3" s="9">
        <v>1107.0980803149205</v>
      </c>
      <c r="M3" s="9">
        <v>1197.0989494133585</v>
      </c>
      <c r="N3" s="9">
        <v>1423.1611666368447</v>
      </c>
      <c r="O3" s="9">
        <v>1542.1698064977891</v>
      </c>
      <c r="P3" s="9">
        <v>1066.0985148641394</v>
      </c>
      <c r="Q3" s="9">
        <v>1044.1307481915085</v>
      </c>
      <c r="R3" s="9">
        <v>1074.1262493290048</v>
      </c>
      <c r="S3" s="9">
        <v>774.08399580787818</v>
      </c>
      <c r="T3" s="9">
        <v>405.06947675161678</v>
      </c>
      <c r="U3" s="9">
        <v>191.03361366018251</v>
      </c>
      <c r="V3" s="9">
        <v>80.003629764065337</v>
      </c>
      <c r="W3" s="9">
        <v>20</v>
      </c>
      <c r="X3" s="9">
        <v>0</v>
      </c>
      <c r="Y3" s="9">
        <f>SUM(D3:X3)</f>
        <v>18280.000000000004</v>
      </c>
      <c r="Z3" s="9">
        <f>E3*3/5+F3*3/5</f>
        <v>1248.1141228496203</v>
      </c>
      <c r="AA3" s="9">
        <f>F3*2/5+G3*1/5</f>
        <v>599.24820428925636</v>
      </c>
      <c r="AB3" s="9">
        <f t="shared" ref="AB3:AB20" si="0">SUM(Q3:X3)</f>
        <v>3588.4477135042562</v>
      </c>
      <c r="AC3" s="9">
        <f>SUM(S3:X3)</f>
        <v>1470.1907159837428</v>
      </c>
      <c r="AD3" s="13">
        <f>AB3/Y3</f>
        <v>0.19630457951336189</v>
      </c>
      <c r="AE3" s="13">
        <f>AC3/Y3</f>
        <v>8.0426187964099699E-2</v>
      </c>
      <c r="AF3" s="9">
        <f>SUM(H3:K3)</f>
        <v>4263.5081158457097</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0.89401391099248984</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0.93887567437619923</v>
      </c>
      <c r="AO3" s="6">
        <f t="shared" si="1"/>
        <v>0.82337995594255087</v>
      </c>
      <c r="AP3" s="6">
        <f t="shared" si="1"/>
        <v>0.799949496336266</v>
      </c>
      <c r="AQ3" s="6">
        <f t="shared" si="1"/>
        <v>1.2541630229734479</v>
      </c>
      <c r="AR3" s="6">
        <f t="shared" si="1"/>
        <v>0.91677825512828282</v>
      </c>
      <c r="AS3" s="6">
        <f t="shared" si="1"/>
        <v>0.89449894545634201</v>
      </c>
      <c r="AT3" s="6">
        <f t="shared" si="1"/>
        <v>0.95718586049371179</v>
      </c>
      <c r="AU3" s="6">
        <f t="shared" si="1"/>
        <v>1.0015814259773708</v>
      </c>
      <c r="AV3" s="6">
        <f t="shared" si="1"/>
        <v>0.98076265643852634</v>
      </c>
      <c r="AW3" s="6">
        <f t="shared" si="1"/>
        <v>1.0127887232075967</v>
      </c>
      <c r="AX3" s="6">
        <f t="shared" si="1"/>
        <v>0.94504649375741367</v>
      </c>
      <c r="AY3" s="6">
        <f t="shared" si="1"/>
        <v>0.93401090803805931</v>
      </c>
      <c r="AZ3" s="6">
        <f t="shared" si="1"/>
        <v>0.92017420883028167</v>
      </c>
      <c r="BA3" s="6">
        <f t="shared" si="1"/>
        <v>0.89292786197912122</v>
      </c>
      <c r="BB3" s="6">
        <f t="shared" si="1"/>
        <v>0.81847582008016495</v>
      </c>
      <c r="BC3" s="6">
        <f t="shared" si="1"/>
        <v>0.63555079716194329</v>
      </c>
      <c r="BD3" s="6">
        <f t="shared" si="1"/>
        <v>0.47958377782493178</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0.30887084300928835</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4.6079267249672019E-2</v>
      </c>
      <c r="BH3" s="7" t="str">
        <f>BI3&amp;"_"&amp;IF(BJ3="男性",1,IF(BJ3="女性",2,IF(BJ3="合計",3)))</f>
        <v>2025_1</v>
      </c>
      <c r="BI3" s="28">
        <f>管理者入力シート!B8</f>
        <v>2025</v>
      </c>
      <c r="BJ3" s="3" t="s">
        <v>21</v>
      </c>
      <c r="BK3" s="9">
        <f>CM4*AK$13</f>
        <v>614.26244272487713</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654.91958915062219</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777.49686843306051</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711.23425782385891</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625.23015382774156</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856.67571795031449</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837.17279427086987</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763.36443890841019</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899.60706099132904</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1087.6750442989969</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1195.9957324934514</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1027.1795628125615</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1023.623222093359</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1036.3942162951846</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1103.5871491156186</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1114.6512281978557</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617.95608788955758</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426.99199936449565</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219.58958653680611</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48.497650195388907</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3.3482817870817647</v>
      </c>
      <c r="CF3" s="9">
        <f t="shared" ref="CF3:CF14" si="2">SUM(BK3:CE3)</f>
        <v>15645.453085161445</v>
      </c>
      <c r="CG3" s="9">
        <f>BL3*3/5+BM3*3/5</f>
        <v>859.44987455020964</v>
      </c>
      <c r="CH3" s="9">
        <f>BM3*2/5+BN3*1/5</f>
        <v>453.24559893799596</v>
      </c>
      <c r="CI3" s="9">
        <f t="shared" ref="CI3:CI14" si="3">SUM(BX3:CE3)</f>
        <v>4571.0161993819893</v>
      </c>
      <c r="CJ3" s="9">
        <f>SUM(BZ3:CE3)</f>
        <v>2431.0348339711859</v>
      </c>
      <c r="CK3" s="13">
        <f>CI3/CF3</f>
        <v>0.29216259666632854</v>
      </c>
      <c r="CL3" s="13">
        <f>CJ3/CF3</f>
        <v>0.15538283364109426</v>
      </c>
      <c r="CM3" s="9">
        <f>SUM(BO3:BR3)</f>
        <v>3082.4431049573359</v>
      </c>
      <c r="CO3" s="7" t="str">
        <f>CP3&amp;"_"&amp;IF(CQ3="男性",1,IF(CQ3="女性",2,IF(CQ3="合計",3)))</f>
        <v>2025_1</v>
      </c>
      <c r="CP3" s="28">
        <f>管理者入力シート!B8</f>
        <v>2025</v>
      </c>
      <c r="CQ3" s="3" t="s">
        <v>21</v>
      </c>
      <c r="CR3" s="9">
        <f>BK3+将来予測シート②!$G17</f>
        <v>615.26244272487713</v>
      </c>
      <c r="CS3" s="9">
        <f>BL3+将来予測シート②!$G18</f>
        <v>654.91958915062219</v>
      </c>
      <c r="CT3" s="9">
        <f>BM3+将来予測シート②!$G19</f>
        <v>778.49686843306051</v>
      </c>
      <c r="CU3" s="9">
        <f>BN3+将来予測シート②!$G20</f>
        <v>711.23425782385891</v>
      </c>
      <c r="CV3" s="9">
        <f>BO3+将来予測シート②!$G21</f>
        <v>625.23015382774156</v>
      </c>
      <c r="CW3" s="9">
        <f>BP3+将来予測シート②!$G22</f>
        <v>858.67571795031449</v>
      </c>
      <c r="CX3" s="9">
        <f>BQ3+将来予測シート②!$G23</f>
        <v>837.17279427086987</v>
      </c>
      <c r="CY3" s="9">
        <f>BR3+将来予測シート②!$G24</f>
        <v>763.36443890841019</v>
      </c>
      <c r="CZ3" s="9">
        <f>BS3+将来予測シート②!$G25</f>
        <v>899.60706099132904</v>
      </c>
      <c r="DA3" s="9">
        <f>BT3+将来予測シート②!$G26</f>
        <v>1087.6750442989969</v>
      </c>
      <c r="DB3" s="9">
        <f>BU3+将来予測シート②!$G27</f>
        <v>1195.9957324934514</v>
      </c>
      <c r="DC3" s="9">
        <f>BV3+将来予測シート②!$G28</f>
        <v>1027.1795628125615</v>
      </c>
      <c r="DD3" s="9">
        <f>BW3+将来予測シート②!$G29</f>
        <v>1023.623222093359</v>
      </c>
      <c r="DE3" s="9">
        <f>BX3</f>
        <v>1036.3942162951846</v>
      </c>
      <c r="DF3" s="9">
        <f t="shared" ref="DF3:DL3" si="4">BY3</f>
        <v>1103.5871491156186</v>
      </c>
      <c r="DG3" s="9">
        <f t="shared" si="4"/>
        <v>1114.6512281978557</v>
      </c>
      <c r="DH3" s="9">
        <f t="shared" si="4"/>
        <v>617.95608788955758</v>
      </c>
      <c r="DI3" s="9">
        <f t="shared" si="4"/>
        <v>426.99199936449565</v>
      </c>
      <c r="DJ3" s="9">
        <f t="shared" si="4"/>
        <v>219.58958653680611</v>
      </c>
      <c r="DK3" s="9">
        <f t="shared" si="4"/>
        <v>48.497650195388907</v>
      </c>
      <c r="DL3" s="9">
        <f t="shared" si="4"/>
        <v>3.3482817870817647</v>
      </c>
      <c r="DM3" s="9">
        <f t="shared" ref="DM3:DM4" si="5">SUM(CR3:DL3)</f>
        <v>15649.453085161445</v>
      </c>
      <c r="DN3" s="9">
        <f>CS3*3/5+CT3*3/5</f>
        <v>860.04987455020955</v>
      </c>
      <c r="DO3" s="9">
        <f>CT3*2/5+CU3*1/5</f>
        <v>453.64559893799594</v>
      </c>
      <c r="DP3" s="9">
        <f t="shared" ref="DP3:DP14" si="6">SUM(DE3:DL3)</f>
        <v>4571.0161993819893</v>
      </c>
      <c r="DQ3" s="9">
        <f>SUM(DG3:DL3)</f>
        <v>2431.0348339711859</v>
      </c>
      <c r="DR3" s="13">
        <f>DP3/DM3</f>
        <v>0.29208791991051442</v>
      </c>
      <c r="DS3" s="13">
        <f>DQ3/DM3</f>
        <v>0.15534311779088647</v>
      </c>
      <c r="DT3" s="9">
        <f>SUM(CV3:CY3)</f>
        <v>3084.4431049573359</v>
      </c>
      <c r="DV3" s="289"/>
      <c r="DW3" s="290"/>
      <c r="DX3" s="28">
        <f>管理者入力シート!B8</f>
        <v>2025</v>
      </c>
      <c r="DY3" s="3" t="s">
        <v>21</v>
      </c>
      <c r="DZ3" s="9">
        <f>BK$3</f>
        <v>614.26244272487713</v>
      </c>
      <c r="EA3" s="9">
        <f>BL$3</f>
        <v>654.91958915062219</v>
      </c>
      <c r="EB3" s="9">
        <f t="shared" ref="EB3:ED3" si="7">BM$3</f>
        <v>777.49686843306051</v>
      </c>
      <c r="EC3" s="9">
        <f t="shared" si="7"/>
        <v>711.23425782385891</v>
      </c>
      <c r="ED3" s="9">
        <f t="shared" si="7"/>
        <v>625.23015382774156</v>
      </c>
      <c r="EE3" s="9">
        <f>BP$3+DX1</f>
        <v>1199.6757179503145</v>
      </c>
      <c r="EF3" s="9">
        <f>BQ$3+DX1</f>
        <v>1180.1727942708699</v>
      </c>
      <c r="EG3" s="9">
        <f>BR$3+DX1</f>
        <v>1106.3644389084102</v>
      </c>
      <c r="EH3" s="9">
        <f t="shared" ref="EH3:ET3" si="8">BS$3</f>
        <v>899.60706099132904</v>
      </c>
      <c r="EI3" s="9">
        <f t="shared" si="8"/>
        <v>1087.6750442989969</v>
      </c>
      <c r="EJ3" s="9">
        <f t="shared" si="8"/>
        <v>1195.9957324934514</v>
      </c>
      <c r="EK3" s="9">
        <f t="shared" si="8"/>
        <v>1027.1795628125615</v>
      </c>
      <c r="EL3" s="9">
        <f t="shared" si="8"/>
        <v>1023.623222093359</v>
      </c>
      <c r="EM3" s="9">
        <f t="shared" si="8"/>
        <v>1036.3942162951846</v>
      </c>
      <c r="EN3" s="9">
        <f t="shared" si="8"/>
        <v>1103.5871491156186</v>
      </c>
      <c r="EO3" s="9">
        <f t="shared" si="8"/>
        <v>1114.6512281978557</v>
      </c>
      <c r="EP3" s="9">
        <f t="shared" si="8"/>
        <v>617.95608788955758</v>
      </c>
      <c r="EQ3" s="9">
        <f t="shared" si="8"/>
        <v>426.99199936449565</v>
      </c>
      <c r="ER3" s="9">
        <f t="shared" si="8"/>
        <v>219.58958653680611</v>
      </c>
      <c r="ES3" s="9">
        <f t="shared" si="8"/>
        <v>48.497650195388907</v>
      </c>
      <c r="ET3" s="9">
        <f t="shared" si="8"/>
        <v>3.3482817870817647</v>
      </c>
      <c r="EU3" s="9">
        <f t="shared" ref="EU3:EU4" si="9">SUM(DZ3:ET3)</f>
        <v>16674.453085161447</v>
      </c>
      <c r="EV3" s="9">
        <f>EA3*3/5+EB3*3/5</f>
        <v>859.44987455020964</v>
      </c>
      <c r="EW3" s="9">
        <f>EB3*2/5+EC3*1/5</f>
        <v>453.24559893799596</v>
      </c>
      <c r="EX3" s="9">
        <f t="shared" ref="EX3:EX14" si="10">SUM(EM3:ET3)</f>
        <v>4571.0161993819893</v>
      </c>
      <c r="EY3" s="9">
        <f>SUM(EO3:ET3)</f>
        <v>2431.0348339711859</v>
      </c>
      <c r="EZ3" s="13">
        <f>EX3/EU3</f>
        <v>0.2741329011534252</v>
      </c>
      <c r="FA3" s="13">
        <f>EY3/EU3</f>
        <v>0.14579397726301185</v>
      </c>
      <c r="FB3" s="9">
        <f>SUM(ED3:EG3)</f>
        <v>4111.4431049573359</v>
      </c>
    </row>
    <row r="4" spans="1:158" x14ac:dyDescent="0.15">
      <c r="A4" s="7" t="str">
        <f t="shared" ref="A4:A14" si="11">B4&amp;"_"&amp;IF(C4="男性",1,IF(C4="女性",2,IF(C4="合計",3)))</f>
        <v>2005_2</v>
      </c>
      <c r="B4" s="29">
        <v>2005</v>
      </c>
      <c r="C4" s="4" t="s">
        <v>22</v>
      </c>
      <c r="D4" s="10">
        <v>1035.101755184879</v>
      </c>
      <c r="E4" s="10">
        <v>988.08278097294135</v>
      </c>
      <c r="F4" s="10">
        <v>946.09661668718695</v>
      </c>
      <c r="G4" s="10">
        <v>941.08655613836834</v>
      </c>
      <c r="H4" s="10">
        <v>939.10533076970648</v>
      </c>
      <c r="I4" s="10">
        <v>1182.1339663692634</v>
      </c>
      <c r="J4" s="10">
        <v>1326.1480016641087</v>
      </c>
      <c r="K4" s="10">
        <v>1135.100175406048</v>
      </c>
      <c r="L4" s="10">
        <v>1276.1084903273684</v>
      </c>
      <c r="M4" s="10">
        <v>1291.1485835399415</v>
      </c>
      <c r="N4" s="10">
        <v>1538.1505456140053</v>
      </c>
      <c r="O4" s="10">
        <v>1585.1462223046781</v>
      </c>
      <c r="P4" s="10">
        <v>1288.1205129502509</v>
      </c>
      <c r="Q4" s="10">
        <v>1288.1242881156782</v>
      </c>
      <c r="R4" s="10">
        <v>1363.1248699915109</v>
      </c>
      <c r="S4" s="10">
        <v>1297.1134123784948</v>
      </c>
      <c r="T4" s="10">
        <v>790.06066406930779</v>
      </c>
      <c r="U4" s="10">
        <v>515.02509374666192</v>
      </c>
      <c r="V4" s="10">
        <v>259.01857505073849</v>
      </c>
      <c r="W4" s="10">
        <v>80.003558718861214</v>
      </c>
      <c r="X4" s="10">
        <v>11</v>
      </c>
      <c r="Y4" s="10">
        <f>SUM(D4:X4)</f>
        <v>21075</v>
      </c>
      <c r="Z4" s="10">
        <f t="shared" ref="Z4:Z11" si="12">E4*3/5+F4*3/5</f>
        <v>1160.507638596077</v>
      </c>
      <c r="AA4" s="10">
        <f t="shared" ref="AA4:AA11" si="13">F4*2/5+G4*1/5</f>
        <v>566.65595790254849</v>
      </c>
      <c r="AB4" s="10">
        <f t="shared" si="0"/>
        <v>5603.4704620712528</v>
      </c>
      <c r="AC4" s="10">
        <f t="shared" ref="AC4:AC11" si="14">SUM(S4:X4)</f>
        <v>2952.2213039640642</v>
      </c>
      <c r="AD4" s="14">
        <f t="shared" ref="AD4:AD11" si="15">AB4/Y4</f>
        <v>0.26588234695474511</v>
      </c>
      <c r="AE4" s="14">
        <f t="shared" ref="AE4:AE11" si="16">AC4/Y4</f>
        <v>0.1400816751584372</v>
      </c>
      <c r="AF4" s="10">
        <f t="shared" ref="AF4:AF20" si="17">SUM(H4:K4)</f>
        <v>4582.487474209127</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0.95356249119994274</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0.93859862824648999</v>
      </c>
      <c r="AO4" s="193">
        <f t="shared" si="18"/>
        <v>0.84247087007683752</v>
      </c>
      <c r="AP4" s="193">
        <f t="shared" si="18"/>
        <v>0.67811929837178886</v>
      </c>
      <c r="AQ4" s="193">
        <f t="shared" si="18"/>
        <v>1.0800817244620247</v>
      </c>
      <c r="AR4" s="193">
        <f t="shared" si="18"/>
        <v>0.94912784431720076</v>
      </c>
      <c r="AS4" s="193">
        <f t="shared" si="18"/>
        <v>0.91911412762871514</v>
      </c>
      <c r="AT4" s="193">
        <f t="shared" si="18"/>
        <v>0.95726385759458965</v>
      </c>
      <c r="AU4" s="193">
        <f t="shared" si="18"/>
        <v>0.94587335868405054</v>
      </c>
      <c r="AV4" s="193">
        <f t="shared" si="18"/>
        <v>0.99348091339333544</v>
      </c>
      <c r="AW4" s="193">
        <f t="shared" si="18"/>
        <v>0.99714272688071204</v>
      </c>
      <c r="AX4" s="193">
        <f t="shared" si="18"/>
        <v>0.98158573157776563</v>
      </c>
      <c r="AY4" s="193">
        <f t="shared" si="18"/>
        <v>0.95239029918372387</v>
      </c>
      <c r="AZ4" s="193">
        <f t="shared" si="18"/>
        <v>0.96677883768035577</v>
      </c>
      <c r="BA4" s="193">
        <f t="shared" si="18"/>
        <v>0.95247265979296813</v>
      </c>
      <c r="BB4" s="193">
        <f t="shared" si="18"/>
        <v>0.89857123183048981</v>
      </c>
      <c r="BC4" s="193">
        <f t="shared" si="18"/>
        <v>0.80484921219598393</v>
      </c>
      <c r="BD4" s="193">
        <f t="shared" si="18"/>
        <v>0.60512416836160821</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0.42216008338234473</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0.34470391751604212</v>
      </c>
      <c r="BH4" s="7" t="str">
        <f t="shared" ref="BH4:BH20" si="19">BI4&amp;"_"&amp;IF(BJ4="男性",1,IF(BJ4="女性",2,IF(BJ4="合計",3)))</f>
        <v>2025_2</v>
      </c>
      <c r="BI4" s="29">
        <f>BI3</f>
        <v>2025</v>
      </c>
      <c r="BJ4" s="4" t="s">
        <v>22</v>
      </c>
      <c r="BK4" s="10">
        <f>CM4*AK$14</f>
        <v>586.31600957982596</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650.88991731909107</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679.89985627919134</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693.70637298480904</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515.35423497966406</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642.01774726234669</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605.49635529078637</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775.99793850270601</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889.39523362402576</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1084.36676096407</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1170.7183858937885</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1064.5123745223123</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1174.6807057262588</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1162.0631866251679</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1325.0474172597981</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1347.3685592331308</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979.1534037196476</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785.86177703773444</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553.34800049796536</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209.34271232797849</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42.090644208452503</v>
      </c>
      <c r="CF4" s="10">
        <f t="shared" si="2"/>
        <v>16937.627593838752</v>
      </c>
      <c r="CG4" s="10">
        <f t="shared" ref="CG4:CG14" si="20">BL4*3/5+BM4*3/5</f>
        <v>798.47386415896949</v>
      </c>
      <c r="CH4" s="10">
        <f t="shared" ref="CH4:CH14" si="21">BM4*2/5+BN4*1/5</f>
        <v>410.70121710863839</v>
      </c>
      <c r="CI4" s="10">
        <f t="shared" si="3"/>
        <v>6404.275700909875</v>
      </c>
      <c r="CJ4" s="10">
        <f t="shared" ref="CJ4:CJ14" si="22">SUM(BZ4:CE4)</f>
        <v>3917.1650970249088</v>
      </c>
      <c r="CK4" s="14">
        <f t="shared" ref="CK4:CK14" si="23">CI4/CF4</f>
        <v>0.37810937012450913</v>
      </c>
      <c r="CL4" s="14">
        <f t="shared" ref="CL4:CL14" si="24">CJ4/CF4</f>
        <v>0.23126999783900201</v>
      </c>
      <c r="CM4" s="10">
        <f t="shared" ref="CM4:CM14" si="25">SUM(BO4:BR4)</f>
        <v>2538.8662760355032</v>
      </c>
      <c r="CO4" s="7" t="str">
        <f t="shared" ref="CO4:CO20" si="26">CP4&amp;"_"&amp;IF(CQ4="男性",1,IF(CQ4="女性",2,IF(CQ4="合計",3)))</f>
        <v>2025_2</v>
      </c>
      <c r="CP4" s="29">
        <f>CP3</f>
        <v>2025</v>
      </c>
      <c r="CQ4" s="4" t="s">
        <v>22</v>
      </c>
      <c r="CR4" s="10">
        <f>BK4+将来予測シート②!$H17</f>
        <v>587.31600957982596</v>
      </c>
      <c r="CS4" s="10">
        <f>BL4+将来予測シート②!$H18</f>
        <v>650.88991731909107</v>
      </c>
      <c r="CT4" s="10">
        <f>BM4+将来予測シート②!$H19</f>
        <v>680.89985627919134</v>
      </c>
      <c r="CU4" s="10">
        <f>BN4+将来予測シート②!$H20</f>
        <v>693.70637298480904</v>
      </c>
      <c r="CV4" s="10">
        <f>BO4+将来予測シート②!$H21</f>
        <v>515.35423497966406</v>
      </c>
      <c r="CW4" s="10">
        <f>BP4+将来予測シート②!$H22</f>
        <v>644.01774726234669</v>
      </c>
      <c r="CX4" s="10">
        <f>BQ4+将来予測シート②!$H23</f>
        <v>605.49635529078637</v>
      </c>
      <c r="CY4" s="10">
        <f>BR4+将来予測シート②!$H24</f>
        <v>775.99793850270601</v>
      </c>
      <c r="CZ4" s="10">
        <f>BS4+将来予測シート②!$H25</f>
        <v>890.39523362402576</v>
      </c>
      <c r="DA4" s="10">
        <f>BT4+将来予測シート②!$H26</f>
        <v>1084.36676096407</v>
      </c>
      <c r="DB4" s="10">
        <f>BU4+将来予測シート②!$H27</f>
        <v>1170.7183858937885</v>
      </c>
      <c r="DC4" s="10">
        <f>BV4+将来予測シート②!$H28</f>
        <v>1064.5123745223123</v>
      </c>
      <c r="DD4" s="10">
        <f>BW4+将来予測シート②!$H29</f>
        <v>1174.6807057262588</v>
      </c>
      <c r="DE4" s="10">
        <f>BX4</f>
        <v>1162.0631866251679</v>
      </c>
      <c r="DF4" s="10">
        <f t="shared" ref="DF4" si="27">BY4</f>
        <v>1325.0474172597981</v>
      </c>
      <c r="DG4" s="10">
        <f t="shared" ref="DG4" si="28">BZ4</f>
        <v>1347.3685592331308</v>
      </c>
      <c r="DH4" s="10">
        <f t="shared" ref="DH4" si="29">CA4</f>
        <v>979.1534037196476</v>
      </c>
      <c r="DI4" s="10">
        <f t="shared" ref="DI4" si="30">CB4</f>
        <v>785.86177703773444</v>
      </c>
      <c r="DJ4" s="10">
        <f t="shared" ref="DJ4" si="31">CC4</f>
        <v>553.34800049796536</v>
      </c>
      <c r="DK4" s="10">
        <f t="shared" ref="DK4" si="32">CD4</f>
        <v>209.34271232797849</v>
      </c>
      <c r="DL4" s="10">
        <f t="shared" ref="DL4" si="33">CE4</f>
        <v>42.090644208452503</v>
      </c>
      <c r="DM4" s="10">
        <f t="shared" si="5"/>
        <v>16942.627593838752</v>
      </c>
      <c r="DN4" s="10">
        <f t="shared" ref="DN4:DN14" si="34">CS4*3/5+CT4*3/5</f>
        <v>799.0738641589694</v>
      </c>
      <c r="DO4" s="10">
        <f t="shared" ref="DO4:DO14" si="35">CT4*2/5+CU4*1/5</f>
        <v>411.10121710863837</v>
      </c>
      <c r="DP4" s="10">
        <f t="shared" si="6"/>
        <v>6404.275700909875</v>
      </c>
      <c r="DQ4" s="10">
        <f t="shared" ref="DQ4:DQ14" si="36">SUM(DG4:DL4)</f>
        <v>3917.1650970249088</v>
      </c>
      <c r="DR4" s="14">
        <f t="shared" ref="DR4:DR14" si="37">DP4/DM4</f>
        <v>0.37799778490314062</v>
      </c>
      <c r="DS4" s="14">
        <f t="shared" ref="DS4:DS14" si="38">DQ4/DM4</f>
        <v>0.23120174691494724</v>
      </c>
      <c r="DT4" s="10">
        <f>SUM(CV4:CY4)</f>
        <v>2540.8662760355032</v>
      </c>
      <c r="DV4" s="289"/>
      <c r="DW4" s="290"/>
      <c r="DX4" s="29">
        <f>DX3</f>
        <v>2025</v>
      </c>
      <c r="DY4" s="4" t="s">
        <v>22</v>
      </c>
      <c r="DZ4" s="10">
        <f>BK$4</f>
        <v>586.31600957982596</v>
      </c>
      <c r="EA4" s="10">
        <f>BL$4</f>
        <v>650.88991731909107</v>
      </c>
      <c r="EB4" s="10">
        <f t="shared" ref="EB4:ED4" si="39">BM$4</f>
        <v>679.89985627919134</v>
      </c>
      <c r="EC4" s="10">
        <f t="shared" si="39"/>
        <v>693.70637298480904</v>
      </c>
      <c r="ED4" s="10">
        <f t="shared" si="39"/>
        <v>515.35423497966406</v>
      </c>
      <c r="EE4" s="10">
        <f>BP$4+DX1</f>
        <v>985.01774726234669</v>
      </c>
      <c r="EF4" s="10">
        <f>BQ$4+DX1</f>
        <v>948.49635529078637</v>
      </c>
      <c r="EG4" s="10">
        <f>BR$4+DX1</f>
        <v>1118.9979385027059</v>
      </c>
      <c r="EH4" s="10">
        <f t="shared" ref="EH4:ET4" si="40">BS$4</f>
        <v>889.39523362402576</v>
      </c>
      <c r="EI4" s="10">
        <f t="shared" si="40"/>
        <v>1084.36676096407</v>
      </c>
      <c r="EJ4" s="10">
        <f t="shared" si="40"/>
        <v>1170.7183858937885</v>
      </c>
      <c r="EK4" s="10">
        <f t="shared" si="40"/>
        <v>1064.5123745223123</v>
      </c>
      <c r="EL4" s="10">
        <f t="shared" si="40"/>
        <v>1174.6807057262588</v>
      </c>
      <c r="EM4" s="10">
        <f t="shared" si="40"/>
        <v>1162.0631866251679</v>
      </c>
      <c r="EN4" s="10">
        <f t="shared" si="40"/>
        <v>1325.0474172597981</v>
      </c>
      <c r="EO4" s="10">
        <f t="shared" si="40"/>
        <v>1347.3685592331308</v>
      </c>
      <c r="EP4" s="10">
        <f t="shared" si="40"/>
        <v>979.1534037196476</v>
      </c>
      <c r="EQ4" s="10">
        <f t="shared" si="40"/>
        <v>785.86177703773444</v>
      </c>
      <c r="ER4" s="10">
        <f t="shared" si="40"/>
        <v>553.34800049796536</v>
      </c>
      <c r="ES4" s="10">
        <f t="shared" si="40"/>
        <v>209.34271232797849</v>
      </c>
      <c r="ET4" s="10">
        <f t="shared" si="40"/>
        <v>42.090644208452503</v>
      </c>
      <c r="EU4" s="10">
        <f t="shared" si="9"/>
        <v>17966.627593838752</v>
      </c>
      <c r="EV4" s="10">
        <f t="shared" ref="EV4:EV14" si="41">EA4*3/5+EB4*3/5</f>
        <v>798.47386415896949</v>
      </c>
      <c r="EW4" s="10">
        <f t="shared" ref="EW4:EW14" si="42">EB4*2/5+EC4*1/5</f>
        <v>410.70121710863839</v>
      </c>
      <c r="EX4" s="10">
        <f t="shared" si="10"/>
        <v>6404.275700909875</v>
      </c>
      <c r="EY4" s="10">
        <f t="shared" ref="EY4:EY14" si="43">SUM(EO4:ET4)</f>
        <v>3917.1650970249088</v>
      </c>
      <c r="EZ4" s="14">
        <f t="shared" ref="EZ4:EZ14" si="44">EX4/EU4</f>
        <v>0.3564539681952375</v>
      </c>
      <c r="FA4" s="14">
        <f t="shared" ref="FA4:FA14" si="45">EY4/EU4</f>
        <v>0.21802450552090322</v>
      </c>
      <c r="FB4" s="10">
        <f>SUM(ED4:EG4)</f>
        <v>3567.8662760355032</v>
      </c>
    </row>
    <row r="5" spans="1:158" x14ac:dyDescent="0.15">
      <c r="A5" s="7" t="str">
        <f t="shared" si="11"/>
        <v>2005_3</v>
      </c>
      <c r="B5" s="30">
        <v>2005</v>
      </c>
      <c r="C5" s="5" t="s">
        <v>23</v>
      </c>
      <c r="D5" s="11">
        <v>2105.2534128623411</v>
      </c>
      <c r="E5" s="11">
        <v>2041.1903702472441</v>
      </c>
      <c r="F5" s="11">
        <v>1973.1792321622515</v>
      </c>
      <c r="G5" s="11">
        <v>1883.1623466345213</v>
      </c>
      <c r="H5" s="11">
        <v>1730.2034110846269</v>
      </c>
      <c r="I5" s="11">
        <v>2279.278364518595</v>
      </c>
      <c r="J5" s="11">
        <v>2659.2978444595383</v>
      </c>
      <c r="K5" s="11">
        <v>2177.2159699920758</v>
      </c>
      <c r="L5" s="11">
        <v>2383.2065706422891</v>
      </c>
      <c r="M5" s="11">
        <v>2488.2475329532999</v>
      </c>
      <c r="N5" s="11">
        <v>2961.3117122508502</v>
      </c>
      <c r="O5" s="11">
        <v>3127.3160288024674</v>
      </c>
      <c r="P5" s="11">
        <v>2354.2190278143903</v>
      </c>
      <c r="Q5" s="11">
        <v>2332.2550363071869</v>
      </c>
      <c r="R5" s="11">
        <v>2437.2511193205155</v>
      </c>
      <c r="S5" s="11">
        <v>2071.1974081863727</v>
      </c>
      <c r="T5" s="11">
        <v>1195.1301408209247</v>
      </c>
      <c r="U5" s="11">
        <v>706.05870740684441</v>
      </c>
      <c r="V5" s="11">
        <v>339.02220481480384</v>
      </c>
      <c r="W5" s="11">
        <v>100.00355871886121</v>
      </c>
      <c r="X5" s="11">
        <v>11</v>
      </c>
      <c r="Y5" s="11">
        <f>SUM(D5:X5)</f>
        <v>39355.000000000007</v>
      </c>
      <c r="Z5" s="11">
        <f t="shared" si="12"/>
        <v>2408.6217614456973</v>
      </c>
      <c r="AA5" s="11">
        <f t="shared" si="13"/>
        <v>1165.904162191805</v>
      </c>
      <c r="AB5" s="11">
        <f t="shared" si="0"/>
        <v>9191.9181755755108</v>
      </c>
      <c r="AC5" s="11">
        <f t="shared" si="14"/>
        <v>4422.4120199478066</v>
      </c>
      <c r="AD5" s="15">
        <f t="shared" si="15"/>
        <v>0.2335641767393091</v>
      </c>
      <c r="AE5" s="15">
        <f t="shared" si="16"/>
        <v>0.1123723038990676</v>
      </c>
      <c r="AF5" s="11">
        <f t="shared" si="17"/>
        <v>8845.9955900548357</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0.92037828375991237</v>
      </c>
      <c r="AN5" s="6">
        <f t="shared" si="1"/>
        <v>0.95506569565258104</v>
      </c>
      <c r="AO5" s="6">
        <f t="shared" si="1"/>
        <v>0.83955733168963453</v>
      </c>
      <c r="AP5" s="6">
        <f t="shared" si="1"/>
        <v>0.82949926629045478</v>
      </c>
      <c r="AQ5" s="6">
        <f t="shared" si="1"/>
        <v>1.290172394749439</v>
      </c>
      <c r="AR5" s="6">
        <f t="shared" si="1"/>
        <v>0.94962418994429099</v>
      </c>
      <c r="AS5" s="6">
        <f t="shared" si="1"/>
        <v>0.94146658969639685</v>
      </c>
      <c r="AT5" s="6">
        <f t="shared" si="1"/>
        <v>0.94659526521092441</v>
      </c>
      <c r="AU5" s="6">
        <f t="shared" si="1"/>
        <v>0.99995731492557793</v>
      </c>
      <c r="AV5" s="6">
        <f t="shared" si="1"/>
        <v>0.94834349548178354</v>
      </c>
      <c r="AW5" s="6">
        <f t="shared" si="1"/>
        <v>1.0025300919453763</v>
      </c>
      <c r="AX5" s="6">
        <f t="shared" si="1"/>
        <v>0.94060138620952272</v>
      </c>
      <c r="AY5" s="6">
        <f t="shared" si="1"/>
        <v>0.95931909159407525</v>
      </c>
      <c r="AZ5" s="6">
        <f t="shared" si="1"/>
        <v>0.87534151979200325</v>
      </c>
      <c r="BA5" s="6">
        <f t="shared" si="1"/>
        <v>0.85054865269043789</v>
      </c>
      <c r="BB5" s="6">
        <f t="shared" si="1"/>
        <v>0.7597311873247814</v>
      </c>
      <c r="BC5" s="6">
        <f t="shared" si="1"/>
        <v>0.6268140122472674</v>
      </c>
      <c r="BD5" s="6">
        <f t="shared" si="1"/>
        <v>0.49270390013238113</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0.24788221590855294</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0.17277480719385294</v>
      </c>
      <c r="BH5" s="7" t="str">
        <f t="shared" si="19"/>
        <v>2025_3</v>
      </c>
      <c r="BI5" s="30">
        <f>BI4</f>
        <v>2025</v>
      </c>
      <c r="BJ5" s="5" t="s">
        <v>23</v>
      </c>
      <c r="BK5" s="16">
        <f>BK3+BK4</f>
        <v>1200.5784523047032</v>
      </c>
      <c r="BL5" s="16">
        <f t="shared" ref="BL5:CE5" si="46">BL3+BL4</f>
        <v>1305.8095064697131</v>
      </c>
      <c r="BM5" s="16">
        <f t="shared" si="46"/>
        <v>1457.3967247122519</v>
      </c>
      <c r="BN5" s="16">
        <f t="shared" si="46"/>
        <v>1404.9406308086679</v>
      </c>
      <c r="BO5" s="16">
        <f t="shared" si="46"/>
        <v>1140.5843888074055</v>
      </c>
      <c r="BP5" s="16">
        <f t="shared" si="46"/>
        <v>1498.6934652126611</v>
      </c>
      <c r="BQ5" s="16">
        <f t="shared" si="46"/>
        <v>1442.6691495616562</v>
      </c>
      <c r="BR5" s="16">
        <f t="shared" si="46"/>
        <v>1539.3623774111161</v>
      </c>
      <c r="BS5" s="16">
        <f t="shared" si="46"/>
        <v>1789.0022946153549</v>
      </c>
      <c r="BT5" s="16">
        <f t="shared" si="46"/>
        <v>2172.0418052630666</v>
      </c>
      <c r="BU5" s="16">
        <f t="shared" si="46"/>
        <v>2366.71411838724</v>
      </c>
      <c r="BV5" s="16">
        <f t="shared" si="46"/>
        <v>2091.6919373348737</v>
      </c>
      <c r="BW5" s="16">
        <f t="shared" si="46"/>
        <v>2198.3039278196179</v>
      </c>
      <c r="BX5" s="16">
        <f t="shared" si="46"/>
        <v>2198.4574029203523</v>
      </c>
      <c r="BY5" s="16">
        <f t="shared" si="46"/>
        <v>2428.6345663754164</v>
      </c>
      <c r="BZ5" s="16">
        <f t="shared" si="46"/>
        <v>2462.0197874309865</v>
      </c>
      <c r="CA5" s="16">
        <f t="shared" si="46"/>
        <v>1597.1094916092052</v>
      </c>
      <c r="CB5" s="16">
        <f t="shared" si="46"/>
        <v>1212.8537764022301</v>
      </c>
      <c r="CC5" s="16">
        <f t="shared" si="46"/>
        <v>772.93758703477147</v>
      </c>
      <c r="CD5" s="16">
        <f t="shared" si="46"/>
        <v>257.84036252336739</v>
      </c>
      <c r="CE5" s="16">
        <f t="shared" si="46"/>
        <v>45.438925995534269</v>
      </c>
      <c r="CF5" s="11">
        <f>SUM(BK5:CE5)</f>
        <v>32583.080679000192</v>
      </c>
      <c r="CG5" s="11">
        <f t="shared" si="20"/>
        <v>1657.9237387091789</v>
      </c>
      <c r="CH5" s="11">
        <f t="shared" si="21"/>
        <v>863.94681604663435</v>
      </c>
      <c r="CI5" s="11">
        <f t="shared" si="3"/>
        <v>10975.291900291866</v>
      </c>
      <c r="CJ5" s="11">
        <f t="shared" si="22"/>
        <v>6348.1999309960947</v>
      </c>
      <c r="CK5" s="15">
        <f t="shared" si="23"/>
        <v>0.33684021496977251</v>
      </c>
      <c r="CL5" s="15">
        <f t="shared" si="24"/>
        <v>0.19483117614128834</v>
      </c>
      <c r="CM5" s="11">
        <f t="shared" si="25"/>
        <v>5621.3093809928396</v>
      </c>
      <c r="CO5" s="7" t="str">
        <f t="shared" si="26"/>
        <v>2025_3</v>
      </c>
      <c r="CP5" s="30">
        <f>CP4</f>
        <v>2025</v>
      </c>
      <c r="CQ5" s="5" t="s">
        <v>23</v>
      </c>
      <c r="CR5" s="16">
        <f>CR3+CR4</f>
        <v>1202.5784523047032</v>
      </c>
      <c r="CS5" s="16">
        <f t="shared" ref="CS5" si="47">CS3+CS4</f>
        <v>1305.8095064697131</v>
      </c>
      <c r="CT5" s="16">
        <f t="shared" ref="CT5" si="48">CT3+CT4</f>
        <v>1459.3967247122519</v>
      </c>
      <c r="CU5" s="16">
        <f t="shared" ref="CU5" si="49">CU3+CU4</f>
        <v>1404.9406308086679</v>
      </c>
      <c r="CV5" s="16">
        <f t="shared" ref="CV5" si="50">CV3+CV4</f>
        <v>1140.5843888074055</v>
      </c>
      <c r="CW5" s="16">
        <f t="shared" ref="CW5" si="51">CW3+CW4</f>
        <v>1502.6934652126611</v>
      </c>
      <c r="CX5" s="16">
        <f t="shared" ref="CX5" si="52">CX3+CX4</f>
        <v>1442.6691495616562</v>
      </c>
      <c r="CY5" s="16">
        <f t="shared" ref="CY5" si="53">CY3+CY4</f>
        <v>1539.3623774111161</v>
      </c>
      <c r="CZ5" s="16">
        <f t="shared" ref="CZ5" si="54">CZ3+CZ4</f>
        <v>1790.0022946153549</v>
      </c>
      <c r="DA5" s="16">
        <f t="shared" ref="DA5" si="55">DA3+DA4</f>
        <v>2172.0418052630666</v>
      </c>
      <c r="DB5" s="16">
        <f t="shared" ref="DB5" si="56">DB3+DB4</f>
        <v>2366.71411838724</v>
      </c>
      <c r="DC5" s="16">
        <f t="shared" ref="DC5" si="57">DC3+DC4</f>
        <v>2091.6919373348737</v>
      </c>
      <c r="DD5" s="16">
        <f t="shared" ref="DD5" si="58">DD3+DD4</f>
        <v>2198.3039278196179</v>
      </c>
      <c r="DE5" s="16">
        <f t="shared" ref="DE5" si="59">DE3+DE4</f>
        <v>2198.4574029203523</v>
      </c>
      <c r="DF5" s="16">
        <f t="shared" ref="DF5" si="60">DF3+DF4</f>
        <v>2428.6345663754164</v>
      </c>
      <c r="DG5" s="16">
        <f t="shared" ref="DG5" si="61">DG3+DG4</f>
        <v>2462.0197874309865</v>
      </c>
      <c r="DH5" s="16">
        <f t="shared" ref="DH5" si="62">DH3+DH4</f>
        <v>1597.1094916092052</v>
      </c>
      <c r="DI5" s="16">
        <f t="shared" ref="DI5" si="63">DI3+DI4</f>
        <v>1212.8537764022301</v>
      </c>
      <c r="DJ5" s="16">
        <f t="shared" ref="DJ5" si="64">DJ3+DJ4</f>
        <v>772.93758703477147</v>
      </c>
      <c r="DK5" s="16">
        <f t="shared" ref="DK5" si="65">DK3+DK4</f>
        <v>257.84036252336739</v>
      </c>
      <c r="DL5" s="16">
        <f t="shared" ref="DL5" si="66">DL3+DL4</f>
        <v>45.438925995534269</v>
      </c>
      <c r="DM5" s="11">
        <f>SUM(CR5:DL5)</f>
        <v>32592.080679000192</v>
      </c>
      <c r="DN5" s="11">
        <f t="shared" si="34"/>
        <v>1659.1237387091792</v>
      </c>
      <c r="DO5" s="11">
        <f t="shared" si="35"/>
        <v>864.74681604663431</v>
      </c>
      <c r="DP5" s="11">
        <f t="shared" si="6"/>
        <v>10975.291900291866</v>
      </c>
      <c r="DQ5" s="11">
        <f t="shared" si="36"/>
        <v>6348.1999309960947</v>
      </c>
      <c r="DR5" s="15">
        <f t="shared" si="37"/>
        <v>0.33674719967674516</v>
      </c>
      <c r="DS5" s="15">
        <f t="shared" si="38"/>
        <v>0.19477737532376638</v>
      </c>
      <c r="DT5" s="11">
        <f>SUM(CV5:CY5)</f>
        <v>5625.3093809928396</v>
      </c>
      <c r="DV5" s="289"/>
      <c r="DW5" s="290"/>
      <c r="DX5" s="30">
        <f>DX4</f>
        <v>2025</v>
      </c>
      <c r="DY5" s="5" t="s">
        <v>23</v>
      </c>
      <c r="DZ5" s="16">
        <f>DZ3+DZ4</f>
        <v>1200.5784523047032</v>
      </c>
      <c r="EA5" s="16">
        <f t="shared" ref="EA5:ET5" si="67">EA3+EA4</f>
        <v>1305.8095064697131</v>
      </c>
      <c r="EB5" s="16">
        <f t="shared" si="67"/>
        <v>1457.3967247122519</v>
      </c>
      <c r="EC5" s="16">
        <f t="shared" si="67"/>
        <v>1404.9406308086679</v>
      </c>
      <c r="ED5" s="16">
        <f t="shared" si="67"/>
        <v>1140.5843888074055</v>
      </c>
      <c r="EE5" s="16">
        <f t="shared" si="67"/>
        <v>2184.6934652126611</v>
      </c>
      <c r="EF5" s="16">
        <f t="shared" si="67"/>
        <v>2128.669149561656</v>
      </c>
      <c r="EG5" s="16">
        <f t="shared" si="67"/>
        <v>2225.3623774111161</v>
      </c>
      <c r="EH5" s="16">
        <f t="shared" si="67"/>
        <v>1789.0022946153549</v>
      </c>
      <c r="EI5" s="16">
        <f t="shared" si="67"/>
        <v>2172.0418052630666</v>
      </c>
      <c r="EJ5" s="16">
        <f t="shared" si="67"/>
        <v>2366.71411838724</v>
      </c>
      <c r="EK5" s="16">
        <f t="shared" si="67"/>
        <v>2091.6919373348737</v>
      </c>
      <c r="EL5" s="16">
        <f t="shared" si="67"/>
        <v>2198.3039278196179</v>
      </c>
      <c r="EM5" s="16">
        <f t="shared" si="67"/>
        <v>2198.4574029203523</v>
      </c>
      <c r="EN5" s="16">
        <f t="shared" si="67"/>
        <v>2428.6345663754164</v>
      </c>
      <c r="EO5" s="16">
        <f t="shared" si="67"/>
        <v>2462.0197874309865</v>
      </c>
      <c r="EP5" s="16">
        <f t="shared" si="67"/>
        <v>1597.1094916092052</v>
      </c>
      <c r="EQ5" s="16">
        <f t="shared" si="67"/>
        <v>1212.8537764022301</v>
      </c>
      <c r="ER5" s="16">
        <f t="shared" si="67"/>
        <v>772.93758703477147</v>
      </c>
      <c r="ES5" s="16">
        <f t="shared" si="67"/>
        <v>257.84036252336739</v>
      </c>
      <c r="ET5" s="16">
        <f t="shared" si="67"/>
        <v>45.438925995534269</v>
      </c>
      <c r="EU5" s="11">
        <f>SUM(DZ5:ET5)</f>
        <v>34641.080679000195</v>
      </c>
      <c r="EV5" s="11">
        <f t="shared" si="41"/>
        <v>1657.9237387091789</v>
      </c>
      <c r="EW5" s="11">
        <f t="shared" si="42"/>
        <v>863.94681604663435</v>
      </c>
      <c r="EX5" s="11">
        <f t="shared" si="10"/>
        <v>10975.291900291866</v>
      </c>
      <c r="EY5" s="11">
        <f t="shared" si="43"/>
        <v>6348.1999309960947</v>
      </c>
      <c r="EZ5" s="15">
        <f t="shared" si="44"/>
        <v>0.31682879647993223</v>
      </c>
      <c r="FA5" s="15">
        <f t="shared" si="45"/>
        <v>0.18325640559026912</v>
      </c>
      <c r="FB5" s="11">
        <f>SUM(ED5:EG5)</f>
        <v>7679.3093809928396</v>
      </c>
    </row>
    <row r="6" spans="1:158" x14ac:dyDescent="0.15">
      <c r="A6" s="7" t="str">
        <f t="shared" si="11"/>
        <v>2010_1</v>
      </c>
      <c r="B6" s="28">
        <v>2010</v>
      </c>
      <c r="C6" s="3" t="s">
        <v>21</v>
      </c>
      <c r="D6" s="9">
        <v>989.94916248568245</v>
      </c>
      <c r="E6" s="9">
        <v>976.03881885877786</v>
      </c>
      <c r="F6" s="9">
        <v>1002.7730663012088</v>
      </c>
      <c r="G6" s="9">
        <v>862.4562461776494</v>
      </c>
      <c r="H6" s="9">
        <v>703.27876242056493</v>
      </c>
      <c r="I6" s="9">
        <v>1112.6048595029663</v>
      </c>
      <c r="J6" s="9">
        <v>1206.0466732575157</v>
      </c>
      <c r="K6" s="9">
        <v>1308.0195784790933</v>
      </c>
      <c r="L6" s="9">
        <v>1039.4242618437736</v>
      </c>
      <c r="M6" s="9">
        <v>1130.384537320426</v>
      </c>
      <c r="N6" s="9">
        <v>1155.6248453044288</v>
      </c>
      <c r="O6" s="9">
        <v>1399.6687919071119</v>
      </c>
      <c r="P6" s="9">
        <v>1448.9322775353621</v>
      </c>
      <c r="Q6" s="9">
        <v>1002.6071737617905</v>
      </c>
      <c r="R6" s="9">
        <v>971.78511097541013</v>
      </c>
      <c r="S6" s="9">
        <v>935.56997612182988</v>
      </c>
      <c r="T6" s="9">
        <v>583.05077132742747</v>
      </c>
      <c r="U6" s="9">
        <v>246.58468309239342</v>
      </c>
      <c r="V6" s="9">
        <v>89.126023568519798</v>
      </c>
      <c r="W6" s="9">
        <v>29.074379758066904</v>
      </c>
      <c r="X6" s="9">
        <v>1</v>
      </c>
      <c r="Y6" s="9">
        <f t="shared" ref="Y6:Y11" si="68">SUM(D6:X6)</f>
        <v>18194</v>
      </c>
      <c r="Z6" s="9">
        <f t="shared" si="12"/>
        <v>1187.2871310959922</v>
      </c>
      <c r="AA6" s="9">
        <f t="shared" si="13"/>
        <v>573.60047575601334</v>
      </c>
      <c r="AB6" s="9">
        <f t="shared" si="0"/>
        <v>3858.7981186054376</v>
      </c>
      <c r="AC6" s="9">
        <f t="shared" si="14"/>
        <v>1884.4058338682373</v>
      </c>
      <c r="AD6" s="13">
        <f t="shared" si="15"/>
        <v>0.21209179502063524</v>
      </c>
      <c r="AE6" s="13">
        <f t="shared" si="16"/>
        <v>0.10357292700166194</v>
      </c>
      <c r="AF6" s="9">
        <f t="shared" si="17"/>
        <v>4329.9498736601399</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0.93550265814969324</v>
      </c>
      <c r="AN6" s="193">
        <f t="shared" si="18"/>
        <v>0.94872874787758754</v>
      </c>
      <c r="AO6" s="193">
        <f t="shared" si="18"/>
        <v>0.89826710685503486</v>
      </c>
      <c r="AP6" s="193">
        <f t="shared" si="18"/>
        <v>0.75033706488178731</v>
      </c>
      <c r="AQ6" s="193">
        <f t="shared" si="18"/>
        <v>1.1521067468969417</v>
      </c>
      <c r="AR6" s="193">
        <f t="shared" si="18"/>
        <v>0.92674766450325874</v>
      </c>
      <c r="AS6" s="193">
        <f t="shared" si="18"/>
        <v>0.94136744826548524</v>
      </c>
      <c r="AT6" s="193">
        <f t="shared" si="18"/>
        <v>0.95800454912805988</v>
      </c>
      <c r="AU6" s="193">
        <f t="shared" si="18"/>
        <v>0.96832705721727019</v>
      </c>
      <c r="AV6" s="193">
        <f t="shared" si="18"/>
        <v>0.98438027423027186</v>
      </c>
      <c r="AW6" s="193">
        <f t="shared" si="18"/>
        <v>0.97710241384493135</v>
      </c>
      <c r="AX6" s="193">
        <f t="shared" si="18"/>
        <v>0.95976434833116653</v>
      </c>
      <c r="AY6" s="193">
        <f t="shared" si="18"/>
        <v>0.94522303540816377</v>
      </c>
      <c r="AZ6" s="193">
        <f t="shared" si="18"/>
        <v>0.94154599239490355</v>
      </c>
      <c r="BA6" s="193">
        <f t="shared" si="18"/>
        <v>0.92095905206925732</v>
      </c>
      <c r="BB6" s="193">
        <f t="shared" si="18"/>
        <v>0.86582972626398147</v>
      </c>
      <c r="BC6" s="193">
        <f t="shared" si="18"/>
        <v>0.75304727135478822</v>
      </c>
      <c r="BD6" s="193">
        <f t="shared" si="18"/>
        <v>0.65124391235811219</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0.37305435763119116</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0.16841386633479227</v>
      </c>
      <c r="BH6" s="7" t="str">
        <f t="shared" si="19"/>
        <v>2030_1</v>
      </c>
      <c r="BI6" s="28">
        <f>管理者入力シート!B9</f>
        <v>2030</v>
      </c>
      <c r="BJ6" s="3" t="s">
        <v>21</v>
      </c>
      <c r="BK6" s="9">
        <f>CM7*$AK$13</f>
        <v>540.7590336435735</v>
      </c>
      <c r="BL6" s="9">
        <f>IF(管理者入力シート!$B$14=1,BK3*管理者用人口入力シート!AM$3,IF(管理者入力シート!$B$14=2,BK3*管理者用人口入力シート!AM$7))</f>
        <v>557.1976578561231</v>
      </c>
      <c r="BM6" s="9">
        <f>IF(管理者入力シート!$B$14=1,BL3*管理者用人口入力シート!AN$3,IF(管理者入力シート!$B$14=2,BL3*管理者用人口入力シート!AN$7))</f>
        <v>620.16699174157304</v>
      </c>
      <c r="BN6" s="9">
        <f>IF(管理者入力シート!$B$14=1,BM3*管理者用人口入力シート!AO$3,IF(管理者入力シート!$B$14=2,BM3*管理者用人口入力シート!AO$7))</f>
        <v>646.43367608195467</v>
      </c>
      <c r="BO6" s="9">
        <f>IF(管理者入力シート!$B$14=1,BN3*管理者用人口入力シート!AP$3,IF(管理者入力シート!$B$14=2,BN3*管理者用人口入力シート!AP$7))</f>
        <v>579.36459879629615</v>
      </c>
      <c r="BP6" s="9">
        <f>IF(管理者入力シート!$B$14=1,BO3*管理者用人口入力シート!AQ$3,IF(管理者入力シート!$B$14=2,BO3*管理者用人口入力シート!AQ$7))</f>
        <v>795.31794898669273</v>
      </c>
      <c r="BQ6" s="9">
        <f>IF(管理者入力シート!$B$14=1,BP3*管理者用人口入力シート!AR$3,IF(管理者入力シート!$B$14=2,BP3*管理者用人口入力シート!AR$7))</f>
        <v>799.32701949468219</v>
      </c>
      <c r="BR6" s="9">
        <f>IF(管理者入力シート!$B$14=1,BQ3*管理者用人口入力シート!AS$3,IF(管理者入力シート!$B$14=2,BQ3*管理者用人口入力シート!AS$7))</f>
        <v>768.25868633027028</v>
      </c>
      <c r="BS6" s="9">
        <f>IF(管理者入力シート!$B$14=1,BR3*管理者用人口入力シート!AT$3,IF(管理者入力シート!$B$14=2,BR3*管理者用人口入力シート!AT$7))</f>
        <v>726.62816197879806</v>
      </c>
      <c r="BT6" s="9">
        <f>IF(管理者入力シート!$B$14=1,BS3*管理者用人口入力シート!AU$3,IF(管理者入力シート!$B$14=2,BS3*管理者用人口入力シート!AU$7))</f>
        <v>900.2988956941557</v>
      </c>
      <c r="BU6" s="9">
        <f>IF(管理者入力シート!$B$14=1,BT3*管理者用人口入力シート!AV$3,IF(管理者入力シート!$B$14=2,BT3*管理者用人口入力シート!AV$7))</f>
        <v>1048.9721543024737</v>
      </c>
      <c r="BV6" s="9">
        <f>IF(管理者入力シート!$B$14=1,BU3*管理者用人口入力シート!AW$3,IF(管理者入力シート!$B$14=2,BU3*管理者用人口入力シート!AW$7))</f>
        <v>1205.140737507189</v>
      </c>
      <c r="BW6" s="9">
        <f>IF(管理者入力シート!$B$14=1,BV3*管理者用人口入力シート!AX$3,IF(管理者入力シート!$B$14=2,BV3*管理者用人口入力シート!AX$7))</f>
        <v>968.44679162250145</v>
      </c>
      <c r="BX6" s="9">
        <f>IF(管理者入力シート!$B$14=1,BW3*管理者用人口入力シート!AY$3,IF(管理者入力シート!$B$14=2,BW3*管理者用人口入力シート!AY$7))</f>
        <v>968.94170182163441</v>
      </c>
      <c r="BY6" s="9">
        <f>IF(管理者入力シート!$B$14=1,BX3*管理者用人口入力シート!AZ$3,IF(管理者入力シート!$B$14=2,BX3*管理者用人口入力シート!AZ$7))</f>
        <v>930.14096800403263</v>
      </c>
      <c r="BZ6" s="9">
        <f>IF(管理者入力シート!$B$14=1,BY3*管理者用人口入力シート!BA$3,IF(管理者入力シート!$B$14=2,BY3*管理者用人口入力シート!BA$7))</f>
        <v>961.75488823196144</v>
      </c>
      <c r="CA6" s="9">
        <f>IF(管理者入力シート!$B$14=1,BZ3*管理者用人口入力シート!BB$3,IF(管理者入力シート!$B$14=2,BZ3*管理者用人口入力シート!BB$7))</f>
        <v>878.9656499654003</v>
      </c>
      <c r="CB6" s="9">
        <f>IF(管理者入力シート!$B$14=1,CA3*管理者用人口入力シート!BC$3,IF(管理者入力シート!$B$14=2,CA3*管理者用人口入力シート!BC$7))</f>
        <v>390.03366795670297</v>
      </c>
      <c r="CC6" s="9">
        <f>IF(管理者入力シート!$B$14=1,CB3*管理者用人口入力シート!BD$3,IF(管理者入力シート!$B$14=2,CB3*管理者用人口入力シート!BD$7))</f>
        <v>207.56062984084542</v>
      </c>
      <c r="CD6" s="9">
        <f>IF(管理者入力シート!$B$14=1,CC3*管理者用人口入力シート!BE$3,IF(管理者入力シート!$B$14=2,CC3*管理者用人口入力シート!BE$7))</f>
        <v>60.760715955781563</v>
      </c>
      <c r="CE6" s="9">
        <f>IF(管理者入力シート!$B$14=1,CD3*管理者用人口入力シート!BF$3,IF(管理者入力シート!$B$14=2,CD3*管理者用人口入力シート!BF$7))</f>
        <v>4.3272669463396376</v>
      </c>
      <c r="CF6" s="9">
        <f t="shared" si="2"/>
        <v>14558.797842758981</v>
      </c>
      <c r="CG6" s="9">
        <f t="shared" si="20"/>
        <v>706.41878975861778</v>
      </c>
      <c r="CH6" s="9">
        <f t="shared" si="21"/>
        <v>377.35353191302011</v>
      </c>
      <c r="CI6" s="9">
        <f t="shared" si="3"/>
        <v>4402.4854887226984</v>
      </c>
      <c r="CJ6" s="9">
        <f t="shared" si="22"/>
        <v>2503.402818897031</v>
      </c>
      <c r="CK6" s="13">
        <f t="shared" si="23"/>
        <v>0.30239347618336054</v>
      </c>
      <c r="CL6" s="13">
        <f t="shared" si="24"/>
        <v>0.17195120407157333</v>
      </c>
      <c r="CM6" s="9">
        <f t="shared" si="25"/>
        <v>2942.2682536079415</v>
      </c>
      <c r="CO6" s="7" t="str">
        <f t="shared" si="26"/>
        <v>2030_1</v>
      </c>
      <c r="CP6" s="28">
        <f>管理者入力シート!B9</f>
        <v>2030</v>
      </c>
      <c r="CQ6" s="3" t="s">
        <v>21</v>
      </c>
      <c r="CR6" s="9">
        <f>DT7*$AK$13+将来予測シート②!$G17</f>
        <v>542.69674460969316</v>
      </c>
      <c r="CS6" s="9">
        <f>IF(管理者入力シート!$B$14=1,CR3*管理者用人口入力シート!AM$3,IF(管理者入力シート!$B$14=2,CR3*管理者用人口入力シート!AM$7))+将来予測シート②!$G18</f>
        <v>558.10475817530323</v>
      </c>
      <c r="CT6" s="9">
        <f>IF(管理者入力シート!$B$14=1,CS3*管理者用人口入力シート!AN$3,IF(管理者入力シート!$B$14=2,CS3*管理者用人口入力シート!AN$7))+将来予測シート②!$G19</f>
        <v>621.16699174157304</v>
      </c>
      <c r="CU6" s="9">
        <f>IF(管理者入力シート!$B$14=1,CT3*管理者用人口入力シート!AO$3,IF(管理者入力シート!$B$14=2,CT3*管理者用人口入力シート!AO$7))+将来予測シート②!$G20</f>
        <v>647.26510538067942</v>
      </c>
      <c r="CV6" s="9">
        <f>IF(管理者入力シート!$B$14=1,CU3*管理者用人口入力シート!AP$3,IF(管理者入力シート!$B$14=2,CU3*管理者用人口入力シート!AP$7))+将来予測シート②!$G21</f>
        <v>579.36459879629615</v>
      </c>
      <c r="CW6" s="9">
        <f>IF(管理者入力シート!$B$14=1,CV3*管理者用人口入力シート!AQ$3,IF(管理者入力シート!$B$14=2,CV3*管理者用人口入力シート!AQ$7))+将来予測シート②!$G22</f>
        <v>797.31794898669273</v>
      </c>
      <c r="CX6" s="9">
        <f>IF(管理者入力シート!$B$14=1,CW3*管理者用人口入力シート!AR$3,IF(管理者入力シート!$B$14=2,CW3*管理者用人口入力シート!AR$7))+将来予測シート②!$G23</f>
        <v>801.19313289732929</v>
      </c>
      <c r="CY6" s="9">
        <f>IF(管理者入力シート!$B$14=1,CX3*管理者用人口入力シート!AS$3,IF(管理者入力シート!$B$14=2,CX3*管理者用人口入力シート!AS$7))+将来予測シート②!$G24</f>
        <v>768.25868633027028</v>
      </c>
      <c r="CZ6" s="9">
        <f>IF(管理者入力シート!$B$14=1,CY3*管理者用人口入力シート!AT$3,IF(管理者入力シート!$B$14=2,CY3*管理者用人口入力シート!AT$7))+将来予測シート②!$G25</f>
        <v>726.62816197879806</v>
      </c>
      <c r="DA6" s="9">
        <f>IF(管理者入力シート!$B$14=1,CZ3*管理者用人口入力シート!AU$3,IF(管理者入力シート!$B$14=2,CZ3*管理者用人口入力シート!AU$7))+将来予測シート②!$G26</f>
        <v>900.2988956941557</v>
      </c>
      <c r="DB6" s="9">
        <f>IF(管理者入力シート!$B$14=1,DA3*管理者用人口入力シート!AV$3,IF(管理者入力シート!$B$14=2,DA3*管理者用人口入力シート!AV$7))+将来予測シート②!$G27</f>
        <v>1048.9721543024737</v>
      </c>
      <c r="DC6" s="9">
        <f>IF(管理者入力シート!$B$14=1,DB3*管理者用人口入力シート!AW$3,IF(管理者入力シート!$B$14=2,DB3*管理者用人口入力シート!AW$7))+将来予測シート②!$G28</f>
        <v>1205.140737507189</v>
      </c>
      <c r="DD6" s="9">
        <f>IF(管理者入力シート!$B$14=1,DC3*管理者用人口入力シート!AX$3,IF(管理者入力シート!$B$14=2,DC3*管理者用人口入力シート!AX$7))+将来予測シート②!$G29</f>
        <v>968.44679162250145</v>
      </c>
      <c r="DE6" s="9">
        <f>IF(管理者入力シート!$B$14=1,DD3*管理者用人口入力シート!AY$3,IF(管理者入力シート!$B$14=2,DD3*管理者用人口入力シート!AY$7))</f>
        <v>968.94170182163441</v>
      </c>
      <c r="DF6" s="9">
        <f>IF(管理者入力シート!$B$14=1,DE3*管理者用人口入力シート!AZ$3,IF(管理者入力シート!$B$14=2,DE3*管理者用人口入力シート!AZ$7))</f>
        <v>930.14096800403263</v>
      </c>
      <c r="DG6" s="9">
        <f>IF(管理者入力シート!$B$14=1,DF3*管理者用人口入力シート!BA$3,IF(管理者入力シート!$B$14=2,DF3*管理者用人口入力シート!BA$7))</f>
        <v>961.75488823196144</v>
      </c>
      <c r="DH6" s="9">
        <f>IF(管理者入力シート!$B$14=1,DG3*管理者用人口入力シート!BB$3,IF(管理者入力シート!$B$14=2,DG3*管理者用人口入力シート!BB$7))</f>
        <v>878.9656499654003</v>
      </c>
      <c r="DI6" s="9">
        <f>IF(管理者入力シート!$B$14=1,DH3*管理者用人口入力シート!BC$3,IF(管理者入力シート!$B$14=2,DH3*管理者用人口入力シート!BC$7))</f>
        <v>390.03366795670297</v>
      </c>
      <c r="DJ6" s="9">
        <f>IF(管理者入力シート!$B$14=1,DI3*管理者用人口入力シート!BD$3,IF(管理者入力シート!$B$14=2,DI3*管理者用人口入力シート!BD$7))</f>
        <v>207.56062984084542</v>
      </c>
      <c r="DK6" s="9">
        <f>IF(管理者入力シート!$B$14=1,DJ3*管理者用人口入力シート!BE$3,IF(管理者入力シート!$B$14=2,DJ3*管理者用人口入力シート!BE$7))</f>
        <v>60.760715955781563</v>
      </c>
      <c r="DL6" s="9">
        <f>IF(管理者入力シート!$B$14=1,DK3*管理者用人口入力シート!BF$3,IF(管理者入力シート!$B$14=2,DK3*管理者用人口入力シート!BF$7))</f>
        <v>4.3272669463396376</v>
      </c>
      <c r="DM6" s="9">
        <f t="shared" ref="DM6:DM14" si="69">SUM(CR6:DL6)</f>
        <v>14567.340196745652</v>
      </c>
      <c r="DN6" s="9">
        <f t="shared" si="34"/>
        <v>707.56304995012579</v>
      </c>
      <c r="DO6" s="9">
        <f t="shared" si="35"/>
        <v>377.9198177727651</v>
      </c>
      <c r="DP6" s="9">
        <f t="shared" si="6"/>
        <v>4402.4854887226984</v>
      </c>
      <c r="DQ6" s="9">
        <f t="shared" si="36"/>
        <v>2503.402818897031</v>
      </c>
      <c r="DR6" s="13">
        <f t="shared" si="37"/>
        <v>0.30221615128520268</v>
      </c>
      <c r="DS6" s="13">
        <f t="shared" si="38"/>
        <v>0.171850371110046</v>
      </c>
      <c r="DT6" s="9">
        <f t="shared" ref="DT6:DT14" si="70">SUM(CV6:CY6)</f>
        <v>2946.1343670105884</v>
      </c>
      <c r="DV6" s="7" t="s">
        <v>400</v>
      </c>
      <c r="DX6" s="28">
        <f>管理者入力シート!B9</f>
        <v>2030</v>
      </c>
      <c r="DY6" s="3" t="s">
        <v>21</v>
      </c>
      <c r="DZ6" s="9">
        <f>FB7*$AK$13</f>
        <v>944.74182109009291</v>
      </c>
      <c r="EA6" s="129">
        <f>IF(管理者入力シート!$B$14=1,DZ3*管理者用人口入力シート!AM$3,IF(管理者入力シート!$B$14=2,DZ3*管理者用人口入力シート!AM$7))</f>
        <v>557.1976578561231</v>
      </c>
      <c r="EB6" s="9">
        <f>IF(管理者入力シート!$B$14=1,EA3*管理者用人口入力シート!AN$3,IF(管理者入力シート!$B$14=2,EA3*管理者用人口入力シート!AN$7))</f>
        <v>620.16699174157304</v>
      </c>
      <c r="EC6" s="9">
        <f>IF(管理者入力シート!$B$14=1,EB3*管理者用人口入力シート!AO$3,IF(管理者入力シート!$B$14=2,EB3*管理者用人口入力シート!AO$7))</f>
        <v>646.43367608195467</v>
      </c>
      <c r="ED6" s="9">
        <f>IF(管理者入力シート!$B$14=1,EC3*管理者用人口入力シート!AP$3,IF(管理者入力シート!$B$14=2,EC3*管理者用人口入力シート!AP$7))</f>
        <v>579.36459879629615</v>
      </c>
      <c r="EE6" s="9">
        <f>IF(管理者入力シート!$B$14=1,ED3*管理者用人口入力シート!AQ$3,IF(管理者入力シート!$B$14=2,ED3*管理者用人口入力シート!AQ$7))+DX1</f>
        <v>1138.3179489866927</v>
      </c>
      <c r="EF6" s="9">
        <f>IF(管理者入力シート!$B$14=1,EE3*管理者用人口入力シート!AR$3,IF(管理者入力シート!$B$14=2,EE3*管理者用人口入力シート!AR$7))+DX1</f>
        <v>1462.3654680486509</v>
      </c>
      <c r="EG6" s="9">
        <f>IF(管理者入力シート!$B$14=1,EF3*管理者用人口入力シート!AS$3,IF(管理者入力シート!$B$14=2,EF3*管理者用人口入力シート!AS$7))+DX1</f>
        <v>1426.0237279257599</v>
      </c>
      <c r="EH6" s="9">
        <f>IF(管理者入力シート!$B$14=1,EG3*管理者用人口入力シート!AT$3,IF(管理者入力シート!$B$14=2,EG3*管理者用人口入力シート!AT$7))</f>
        <v>1053.1215730618774</v>
      </c>
      <c r="EI6" s="9">
        <f>IF(管理者入力シート!$B$14=1,EH3*管理者用人口入力シート!AU$3,IF(管理者入力シート!$B$14=2,EH3*管理者用人口入力シート!AU$7))</f>
        <v>900.2988956941557</v>
      </c>
      <c r="EJ6" s="9">
        <f>IF(管理者入力シート!$B$14=1,EI3*管理者用人口入力シート!AV$3,IF(管理者入力シート!$B$14=2,EI3*管理者用人口入力シート!AV$7))</f>
        <v>1048.9721543024737</v>
      </c>
      <c r="EK6" s="9">
        <f>IF(管理者入力シート!$B$14=1,EJ3*管理者用人口入力シート!AW$3,IF(管理者入力シート!$B$14=2,EJ3*管理者用人口入力シート!AW$7))</f>
        <v>1205.140737507189</v>
      </c>
      <c r="EL6" s="9">
        <f>IF(管理者入力シート!$B$14=1,EK3*管理者用人口入力シート!AX$3,IF(管理者入力シート!$B$14=2,EK3*管理者用人口入力シート!AX$7))</f>
        <v>968.44679162250145</v>
      </c>
      <c r="EM6" s="9">
        <f>IF(管理者入力シート!$B$14=1,EL3*管理者用人口入力シート!AY$3,IF(管理者入力シート!$B$14=2,EL3*管理者用人口入力シート!AY$7))</f>
        <v>968.94170182163441</v>
      </c>
      <c r="EN6" s="9">
        <f>IF(管理者入力シート!$B$14=1,EM3*管理者用人口入力シート!AZ$3,IF(管理者入力シート!$B$14=2,EM3*管理者用人口入力シート!AZ$7))</f>
        <v>930.14096800403263</v>
      </c>
      <c r="EO6" s="9">
        <f>IF(管理者入力シート!$B$14=1,EN3*管理者用人口入力シート!BA$3,IF(管理者入力シート!$B$14=2,EN3*管理者用人口入力シート!BA$7))</f>
        <v>961.75488823196144</v>
      </c>
      <c r="EP6" s="9">
        <f>IF(管理者入力シート!$B$14=1,EO3*管理者用人口入力シート!BB$3,IF(管理者入力シート!$B$14=2,EO3*管理者用人口入力シート!BB$7))</f>
        <v>878.9656499654003</v>
      </c>
      <c r="EQ6" s="9">
        <f>IF(管理者入力シート!$B$14=1,EP3*管理者用人口入力シート!BC$3,IF(管理者入力シート!$B$14=2,EP3*管理者用人口入力シート!BC$7))</f>
        <v>390.03366795670297</v>
      </c>
      <c r="ER6" s="9">
        <f>IF(管理者入力シート!$B$14=1,EQ3*管理者用人口入力シート!BD$3,IF(管理者入力シート!$B$14=2,EQ3*管理者用人口入力シート!BD$7))</f>
        <v>207.56062984084542</v>
      </c>
      <c r="ES6" s="9">
        <f>IF(管理者入力シート!$B$14=1,ER3*管理者用人口入力シート!BE$3,IF(管理者入力シート!$B$14=2,ER3*管理者用人口入力シート!BE$7))</f>
        <v>60.760715955781563</v>
      </c>
      <c r="ET6" s="9">
        <f>IF(管理者入力シート!$B$14=1,ES3*管理者用人口入力シート!BF$3,IF(管理者入力シート!$B$14=2,ES3*管理者用人口入力シート!BF$7))</f>
        <v>4.3272669463396376</v>
      </c>
      <c r="EU6" s="9">
        <f t="shared" ref="EU6:EU14" si="71">SUM(DZ6:ET6)</f>
        <v>16953.077531438037</v>
      </c>
      <c r="EV6" s="9">
        <f t="shared" si="41"/>
        <v>706.41878975861778</v>
      </c>
      <c r="EW6" s="9">
        <f t="shared" si="42"/>
        <v>377.35353191302011</v>
      </c>
      <c r="EX6" s="9">
        <f t="shared" si="10"/>
        <v>4402.4854887226984</v>
      </c>
      <c r="EY6" s="9">
        <f t="shared" si="43"/>
        <v>2503.402818897031</v>
      </c>
      <c r="EZ6" s="13">
        <f t="shared" si="44"/>
        <v>0.25968650709929597</v>
      </c>
      <c r="FA6" s="13">
        <f t="shared" si="45"/>
        <v>0.14766657052412366</v>
      </c>
      <c r="FB6" s="9">
        <f t="shared" ref="FB6:FB14" si="72">SUM(ED6:EG6)</f>
        <v>4606.0717437573994</v>
      </c>
    </row>
    <row r="7" spans="1:158" x14ac:dyDescent="0.15">
      <c r="A7" s="7" t="str">
        <f t="shared" si="11"/>
        <v>2010_2</v>
      </c>
      <c r="B7" s="29">
        <v>2010</v>
      </c>
      <c r="C7" s="4" t="s">
        <v>22</v>
      </c>
      <c r="D7" s="10">
        <v>908.17710304092384</v>
      </c>
      <c r="E7" s="10">
        <v>903.91510411198487</v>
      </c>
      <c r="F7" s="10">
        <v>944.84542351637469</v>
      </c>
      <c r="G7" s="10">
        <v>796.627708817045</v>
      </c>
      <c r="H7" s="10">
        <v>762.91969075790053</v>
      </c>
      <c r="I7" s="10">
        <v>1090.3457600312272</v>
      </c>
      <c r="J7" s="10">
        <v>1257.3547527197561</v>
      </c>
      <c r="K7" s="10">
        <v>1306.4435799490686</v>
      </c>
      <c r="L7" s="10">
        <v>1121.0382038697574</v>
      </c>
      <c r="M7" s="10">
        <v>1232.9719088646382</v>
      </c>
      <c r="N7" s="10">
        <v>1276.9879236200643</v>
      </c>
      <c r="O7" s="10">
        <v>1519.3838507289086</v>
      </c>
      <c r="P7" s="10">
        <v>1574.2675985809508</v>
      </c>
      <c r="Q7" s="10">
        <v>1237.8390497602788</v>
      </c>
      <c r="R7" s="10">
        <v>1219.7896764947106</v>
      </c>
      <c r="S7" s="10">
        <v>1264.9030557035683</v>
      </c>
      <c r="T7" s="10">
        <v>1157.6211867478587</v>
      </c>
      <c r="U7" s="10">
        <v>635.40802642368874</v>
      </c>
      <c r="V7" s="10">
        <v>298.10946996260208</v>
      </c>
      <c r="W7" s="10">
        <v>113.04523369907211</v>
      </c>
      <c r="X7" s="10">
        <v>14.005692599620494</v>
      </c>
      <c r="Y7" s="10">
        <f t="shared" si="68"/>
        <v>20636</v>
      </c>
      <c r="Z7" s="10">
        <f t="shared" si="12"/>
        <v>1109.2563165770157</v>
      </c>
      <c r="AA7" s="10">
        <f t="shared" si="13"/>
        <v>537.26371116995892</v>
      </c>
      <c r="AB7" s="10">
        <f t="shared" si="0"/>
        <v>5940.7213913914002</v>
      </c>
      <c r="AC7" s="10">
        <f t="shared" si="14"/>
        <v>3483.0926651364102</v>
      </c>
      <c r="AD7" s="14">
        <f t="shared" si="15"/>
        <v>0.28788143978442526</v>
      </c>
      <c r="AE7" s="14">
        <f t="shared" si="16"/>
        <v>0.16878720028767252</v>
      </c>
      <c r="AF7" s="10">
        <f t="shared" si="17"/>
        <v>4417.063783457952</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0.90710031918016376</v>
      </c>
      <c r="AN7" s="48">
        <f t="shared" si="73"/>
        <v>0.94693608500225124</v>
      </c>
      <c r="AO7" s="48">
        <f t="shared" si="73"/>
        <v>0.83142929872470628</v>
      </c>
      <c r="AP7" s="48">
        <f t="shared" si="73"/>
        <v>0.81459040031193075</v>
      </c>
      <c r="AQ7" s="48">
        <f t="shared" si="73"/>
        <v>1.2720402944702063</v>
      </c>
      <c r="AR7" s="48">
        <f t="shared" si="73"/>
        <v>0.93305670132352414</v>
      </c>
      <c r="AS7" s="48">
        <f t="shared" si="73"/>
        <v>0.91768233701308954</v>
      </c>
      <c r="AT7" s="48">
        <f t="shared" si="73"/>
        <v>0.95187583406145571</v>
      </c>
      <c r="AU7" s="48">
        <f t="shared" si="73"/>
        <v>1.0007690409878112</v>
      </c>
      <c r="AV7" s="48">
        <f t="shared" si="73"/>
        <v>0.96441686310687846</v>
      </c>
      <c r="AW7" s="48">
        <f t="shared" si="73"/>
        <v>1.0076463525456498</v>
      </c>
      <c r="AX7" s="48">
        <f t="shared" si="73"/>
        <v>0.94282132032568733</v>
      </c>
      <c r="AY7" s="48">
        <f t="shared" si="73"/>
        <v>0.94658042227696026</v>
      </c>
      <c r="AZ7" s="48">
        <f t="shared" si="73"/>
        <v>0.89747796097224741</v>
      </c>
      <c r="BA7" s="48">
        <f t="shared" si="73"/>
        <v>0.87148068822900193</v>
      </c>
      <c r="BB7" s="48">
        <f t="shared" si="73"/>
        <v>0.78855666035239846</v>
      </c>
      <c r="BC7" s="48">
        <f t="shared" si="73"/>
        <v>0.6311672877740313</v>
      </c>
      <c r="BD7" s="48">
        <f t="shared" si="73"/>
        <v>0.48609957598681902</v>
      </c>
      <c r="BE7" s="48">
        <f t="shared" si="73"/>
        <v>0.27670126308834442</v>
      </c>
      <c r="BF7" s="48">
        <f t="shared" si="73"/>
        <v>8.92263218713856E-2</v>
      </c>
      <c r="BH7" s="7" t="str">
        <f t="shared" si="19"/>
        <v>2030_2</v>
      </c>
      <c r="BI7" s="29">
        <f>BI6</f>
        <v>2030</v>
      </c>
      <c r="BJ7" s="4" t="s">
        <v>22</v>
      </c>
      <c r="BK7" s="10">
        <f>CM7*$AK$14</f>
        <v>516.15670550144534</v>
      </c>
      <c r="BL7" s="10">
        <f>IF(管理者入力シート!$B$14=1,BK4*管理者用人口入力シート!AM$4,IF(管理者入力シート!$B$14=2,BK4*管理者用人口入力シート!AM$8))</f>
        <v>553.76926184590457</v>
      </c>
      <c r="BM7" s="10">
        <f>IF(管理者入力シート!$B$14=1,BL4*管理者用人口入力シート!AN$4,IF(管理者入力シート!$B$14=2,BL4*管理者用人口入力シート!AN$8))</f>
        <v>614.21233215488746</v>
      </c>
      <c r="BN7" s="10">
        <f>IF(管理者入力シート!$B$14=1,BM4*管理者用人口入力シート!AO$4,IF(管理者入力シート!$B$14=2,BM4*管理者用人口入力シート!AO$8))</f>
        <v>591.45968059544361</v>
      </c>
      <c r="BO7" s="10">
        <f>IF(管理者入力シート!$B$14=1,BN4*管理者用人口入力シート!AP$4,IF(管理者入力シート!$B$14=2,BN4*管理者用人口入力シート!AP$8))</f>
        <v>494.83104219396074</v>
      </c>
      <c r="BP7" s="10">
        <f>IF(管理者入力シート!$B$14=1,BO4*管理者用人口入力シート!AQ$4,IF(管理者入力シート!$B$14=2,BO4*管理者用人口入力シート!AQ$8))</f>
        <v>574.88439233284134</v>
      </c>
      <c r="BQ7" s="10">
        <f>IF(管理者入力シート!$B$14=1,BP4*管理者用人口入力シート!AR$4,IF(管理者入力シート!$B$14=2,BP4*管理者用人口入力シート!AR$8))</f>
        <v>602.12982677787522</v>
      </c>
      <c r="BR7" s="10">
        <f>IF(管理者入力シート!$B$14=1,BQ4*管理者用人口入力シート!AS$4,IF(管理者入力シート!$B$14=2,BQ4*管理者用人口入力シート!AS$8))</f>
        <v>563.21711348246822</v>
      </c>
      <c r="BS7" s="10">
        <f>IF(管理者入力シート!$B$14=1,BR4*管理者用人口入力シート!AT$4,IF(管理者入力シート!$B$14=2,BR4*管理者用人口入力シート!AT$8))</f>
        <v>743.12211207738949</v>
      </c>
      <c r="BT7" s="10">
        <f>IF(管理者入力シート!$B$14=1,BS4*管理者用人口入力シート!AU$4,IF(管理者入力シート!$B$14=2,BS4*管理者用人口入力シート!AU$8))</f>
        <v>851.18179805629495</v>
      </c>
      <c r="BU7" s="10">
        <f>IF(管理者入力シート!$B$14=1,BT4*管理者用人口入力シート!AV$4,IF(管理者入力シート!$B$14=2,BT4*管理者用人口入力シート!AV$8))</f>
        <v>1072.3521129841045</v>
      </c>
      <c r="BV7" s="10">
        <f>IF(管理者入力シート!$B$14=1,BU4*管理者用人口入力シート!AW$4,IF(管理者入力シート!$B$14=2,BU4*管理者用人口入力シート!AW$8))</f>
        <v>1155.5830018802808</v>
      </c>
      <c r="BW7" s="10">
        <f>IF(管理者入力シート!$B$14=1,BV4*管理者用人口入力シート!AX$4,IF(管理者入力シート!$B$14=2,BV4*管理者用人口入力シート!AX$8))</f>
        <v>1033.2303139274279</v>
      </c>
      <c r="BX7" s="10">
        <f>IF(管理者入力シート!$B$14=1,BW4*管理者用人口入力シート!AY$4,IF(管理者入力シート!$B$14=2,BW4*管理者用人口入力シート!AY$8))</f>
        <v>1114.5369356593153</v>
      </c>
      <c r="BY7" s="10">
        <f>IF(管理者入力シート!$B$14=1,BX4*管理者用人口入力シート!AZ$4,IF(管理者入力シート!$B$14=2,BX4*管理者用人口入力シート!AZ$8))</f>
        <v>1108.7000841948159</v>
      </c>
      <c r="BZ7" s="10">
        <f>IF(管理者入力シート!$B$14=1,BY4*管理者用人口入力シート!BA$4,IF(管理者入力シート!$B$14=2,BY4*管理者用人口入力シート!BA$8))</f>
        <v>1241.0173110414914</v>
      </c>
      <c r="CA7" s="10">
        <f>IF(管理者入力シート!$B$14=1,BZ4*管理者用人口入力シート!BB$4,IF(管理者入力シート!$B$14=2,BZ4*管理者用人口入力シート!BB$8))</f>
        <v>1188.4445138715814</v>
      </c>
      <c r="CB7" s="10">
        <f>IF(管理者入力シート!$B$14=1,CA4*管理者用人口入力シート!BC$4,IF(管理者入力シート!$B$14=2,CA4*管理者用人口入力シート!BC$8))</f>
        <v>762.28806330695943</v>
      </c>
      <c r="CC7" s="10">
        <f>IF(管理者入力シート!$B$14=1,CB4*管理者用人口入力シート!BD$4,IF(管理者入力シート!$B$14=2,CB4*管理者用人口入力シート!BD$8))</f>
        <v>493.33309819690373</v>
      </c>
      <c r="CD7" s="10">
        <f>IF(管理者入力シート!$B$14=1,CC4*管理者用人口入力シート!BE$4,IF(管理者入力シート!$B$14=2,CC4*管理者用人口入力シート!BE$8))</f>
        <v>219.59527292230626</v>
      </c>
      <c r="CE7" s="10">
        <f>IF(管理者入力シート!$B$14=1,CD4*管理者用人口入力シート!BF$4,IF(管理者入力シート!$B$14=2,CD4*管理者用人口入力シート!BF$8))</f>
        <v>50.439396241804431</v>
      </c>
      <c r="CF7" s="10">
        <f t="shared" si="2"/>
        <v>15544.484369245502</v>
      </c>
      <c r="CG7" s="10">
        <f t="shared" si="20"/>
        <v>700.78895640047517</v>
      </c>
      <c r="CH7" s="10">
        <f t="shared" si="21"/>
        <v>363.97686898104371</v>
      </c>
      <c r="CI7" s="10">
        <f t="shared" si="3"/>
        <v>6178.3546754351792</v>
      </c>
      <c r="CJ7" s="10">
        <f t="shared" si="22"/>
        <v>3955.1176555810466</v>
      </c>
      <c r="CK7" s="14">
        <f t="shared" si="23"/>
        <v>0.39746282531307048</v>
      </c>
      <c r="CL7" s="14">
        <f t="shared" si="24"/>
        <v>0.25443865242684921</v>
      </c>
      <c r="CM7" s="10">
        <f t="shared" si="25"/>
        <v>2235.0623747871455</v>
      </c>
      <c r="CO7" s="7" t="str">
        <f t="shared" si="26"/>
        <v>2030_2</v>
      </c>
      <c r="CP7" s="29">
        <f>CP6</f>
        <v>2030</v>
      </c>
      <c r="CQ7" s="4" t="s">
        <v>22</v>
      </c>
      <c r="CR7" s="10">
        <f>DT7*$AK$14+将来予測シート②!$H17</f>
        <v>518.05175444722761</v>
      </c>
      <c r="CS7" s="10">
        <f>IF(管理者入力シート!$B$14=1,CR4*管理者用人口入力シート!AM$4,IF(管理者入力シート!$B$14=2,CR4*管理者用人口入力シート!AM$8))+将来予測シート②!$H18</f>
        <v>554.71375125570728</v>
      </c>
      <c r="CT7" s="10">
        <f>IF(管理者入力シート!$B$14=1,CS4*管理者用人口入力シート!AN$4,IF(管理者入力シート!$B$14=2,CS4*管理者用人口入力シート!AN$8))+将来予測シート②!$H19</f>
        <v>615.21233215488746</v>
      </c>
      <c r="CU7" s="10">
        <f>IF(管理者入力シート!$B$14=1,CT4*管理者用人口入力シート!AO$4,IF(管理者入力シート!$B$14=2,CT4*管理者用人口入力シート!AO$8))+将来予測シート②!$H20</f>
        <v>592.32960235691041</v>
      </c>
      <c r="CV7" s="10">
        <f>IF(管理者入力シート!$B$14=1,CU4*管理者用人口入力シート!AP$4,IF(管理者入力シート!$B$14=2,CU4*管理者用人口入力シート!AP$8))+将来予測シート②!$H21</f>
        <v>494.83104219396074</v>
      </c>
      <c r="CW7" s="10">
        <f>IF(管理者入力シート!$B$14=1,CV4*管理者用人口入力シート!AQ$4,IF(管理者入力シート!$B$14=2,CV4*管理者用人口入力シート!AQ$8))+将来予測シート②!$H22</f>
        <v>576.88439233284134</v>
      </c>
      <c r="CX7" s="10">
        <f>IF(管理者入力シート!$B$14=1,CW4*管理者用人口入力シート!AR$4,IF(管理者入力シート!$B$14=2,CW4*管理者用人口入力シート!AR$8))+将来予測シート②!$H23</f>
        <v>604.00556877829638</v>
      </c>
      <c r="CY7" s="10">
        <f>IF(管理者入力シート!$B$14=1,CX4*管理者用人口入力シート!AS$4,IF(管理者入力シート!$B$14=2,CX4*管理者用人口入力シート!AS$8))+将来予測シート②!$H24</f>
        <v>563.21711348246822</v>
      </c>
      <c r="CZ7" s="10">
        <f>IF(管理者入力シート!$B$14=1,CY4*管理者用人口入力シート!AT$4,IF(管理者入力シート!$B$14=2,CY4*管理者用人口入力シート!AT$8))+将来予測シート②!$H25</f>
        <v>744.12211207738949</v>
      </c>
      <c r="DA7" s="10">
        <f>IF(管理者入力シート!$B$14=1,CZ4*管理者用人口入力シート!AU$4,IF(管理者入力シート!$B$14=2,CZ4*管理者用人口入力シート!AU$8))+将来予測シート②!$H26</f>
        <v>852.13883241613519</v>
      </c>
      <c r="DB7" s="10">
        <f>IF(管理者入力シート!$B$14=1,DA4*管理者用人口入力シート!AV$4,IF(管理者入力シート!$B$14=2,DA4*管理者用人口入力シート!AV$8))+将来予測シート②!$H27</f>
        <v>1072.3521129841045</v>
      </c>
      <c r="DC7" s="10">
        <f>IF(管理者入力シート!$B$14=1,DB4*管理者用人口入力シート!AW$4,IF(管理者入力シート!$B$14=2,DB4*管理者用人口入力シート!AW$8))+将来予測シート②!$H28</f>
        <v>1155.5830018802808</v>
      </c>
      <c r="DD7" s="10">
        <f>IF(管理者入力シート!$B$14=1,DC4*管理者用人口入力シート!AX$4,IF(管理者入力シート!$B$14=2,DC4*管理者用人口入力シート!AX$8))+将来予測シート②!$H29</f>
        <v>1033.2303139274279</v>
      </c>
      <c r="DE7" s="10">
        <f>IF(管理者入力シート!$B$14=1,DD4*管理者用人口入力シート!AY$4,IF(管理者入力シート!$B$14=2,DD4*管理者用人口入力シート!AY$8))</f>
        <v>1114.5369356593153</v>
      </c>
      <c r="DF7" s="10">
        <f>IF(管理者入力シート!$B$14=1,DE4*管理者用人口入力シート!AZ$4,IF(管理者入力シート!$B$14=2,DE4*管理者用人口入力シート!AZ$8))</f>
        <v>1108.7000841948159</v>
      </c>
      <c r="DG7" s="10">
        <f>IF(管理者入力シート!$B$14=1,DF4*管理者用人口入力シート!BA$4,IF(管理者入力シート!$B$14=2,DF4*管理者用人口入力シート!BA$8))</f>
        <v>1241.0173110414914</v>
      </c>
      <c r="DH7" s="10">
        <f>IF(管理者入力シート!$B$14=1,DG4*管理者用人口入力シート!BB$4,IF(管理者入力シート!$B$14=2,DG4*管理者用人口入力シート!BB$8))</f>
        <v>1188.4445138715814</v>
      </c>
      <c r="DI7" s="10">
        <f>IF(管理者入力シート!$B$14=1,DH4*管理者用人口入力シート!BC$4,IF(管理者入力シート!$B$14=2,DH4*管理者用人口入力シート!BC$8))</f>
        <v>762.28806330695943</v>
      </c>
      <c r="DJ7" s="10">
        <f>IF(管理者入力シート!$B$14=1,DI4*管理者用人口入力シート!BD$4,IF(管理者入力シート!$B$14=2,DI4*管理者用人口入力シート!BD$8))</f>
        <v>493.33309819690373</v>
      </c>
      <c r="DK7" s="10">
        <f>IF(管理者入力シート!$B$14=1,DJ4*管理者用人口入力シート!BE$4,IF(管理者入力シート!$B$14=2,DJ4*管理者用人口入力シート!BE$8))</f>
        <v>219.59527292230626</v>
      </c>
      <c r="DL7" s="10">
        <f>IF(管理者入力シート!$B$14=1,DK4*管理者用人口入力シート!BF$4,IF(管理者入力シート!$B$14=2,DK4*管理者用人口入力シート!BF$8))</f>
        <v>50.439396241804431</v>
      </c>
      <c r="DM7" s="10">
        <f t="shared" si="69"/>
        <v>15555.026605722816</v>
      </c>
      <c r="DN7" s="10">
        <f t="shared" si="34"/>
        <v>701.95565004635682</v>
      </c>
      <c r="DO7" s="10">
        <f t="shared" si="35"/>
        <v>364.55085333333705</v>
      </c>
      <c r="DP7" s="10">
        <f t="shared" si="6"/>
        <v>6178.3546754351792</v>
      </c>
      <c r="DQ7" s="10">
        <f t="shared" si="36"/>
        <v>3955.1176555810466</v>
      </c>
      <c r="DR7" s="14">
        <f t="shared" si="37"/>
        <v>0.39719344955424979</v>
      </c>
      <c r="DS7" s="14">
        <f t="shared" si="38"/>
        <v>0.25426620962036334</v>
      </c>
      <c r="DT7" s="10">
        <f t="shared" si="70"/>
        <v>2238.9381167875663</v>
      </c>
      <c r="DV7" s="7" t="s">
        <v>401</v>
      </c>
      <c r="DW7" s="210">
        <f>(SUM(BK12:BW12)-SUM(D12:P12))/4</f>
        <v>-942.10679403870017</v>
      </c>
      <c r="DX7" s="29">
        <f>DX6</f>
        <v>2030</v>
      </c>
      <c r="DY7" s="4" t="s">
        <v>22</v>
      </c>
      <c r="DZ7" s="10">
        <f>FB7*$AK$14</f>
        <v>901.75992555809876</v>
      </c>
      <c r="EA7" s="10">
        <f>IF(管理者入力シート!$B$14=1,DZ4*管理者用人口入力シート!AM$4,IF(管理者入力シート!$B$14=2,DZ4*管理者用人口入力シート!AM$8))</f>
        <v>553.76926184590457</v>
      </c>
      <c r="EB7" s="10">
        <f>IF(管理者入力シート!$B$14=1,EA4*管理者用人口入力シート!AN$4,IF(管理者入力シート!$B$14=2,EA4*管理者用人口入力シート!AN$8))</f>
        <v>614.21233215488746</v>
      </c>
      <c r="EC7" s="10">
        <f>IF(管理者入力シート!$B$14=1,EB4*管理者用人口入力シート!AO$4,IF(管理者入力シート!$B$14=2,EB4*管理者用人口入力シート!AO$8))</f>
        <v>591.45968059544361</v>
      </c>
      <c r="ED7" s="10">
        <f>IF(管理者入力シート!$B$14=1,EC4*管理者用人口入力シート!AP$4,IF(管理者入力シート!$B$14=2,EC4*管理者用人口入力シート!AP$8))</f>
        <v>494.83104219396074</v>
      </c>
      <c r="EE7" s="10">
        <f>IF(管理者入力シート!$B$14=1,ED4*管理者用人口入力シート!AQ$4,IF(管理者入力シート!$B$14=2,ED4*管理者用人口入力シート!AQ$8))+DX1</f>
        <v>917.88439233284134</v>
      </c>
      <c r="EF7" s="10">
        <f>IF(管理者入力シート!$B$14=1,EE4*管理者用人口入力シート!AR$4,IF(管理者入力シート!$B$14=2,EE4*管理者用人口入力シート!AR$8))+DX1</f>
        <v>1266.8195798501013</v>
      </c>
      <c r="EG7" s="10">
        <f>IF(管理者入力シート!$B$14=1,EF4*管理者用人口入力シート!AS$4,IF(管理者入力シート!$B$14=2,EF4*管理者用人口入力シート!AS$8))+DX1</f>
        <v>1225.2668785825592</v>
      </c>
      <c r="EH7" s="10">
        <f>IF(管理者入力シート!$B$14=1,EG4*管理者用人口入力シート!AT$4,IF(管理者入力シート!$B$14=2,EG4*管理者用人口入力シート!AT$8))</f>
        <v>1071.5906192674452</v>
      </c>
      <c r="EI7" s="10">
        <f>IF(管理者入力シート!$B$14=1,EH4*管理者用人口入力シート!AU$4,IF(管理者入力シート!$B$14=2,EH4*管理者用人口入力シート!AU$8))</f>
        <v>851.18179805629495</v>
      </c>
      <c r="EJ7" s="10">
        <f>IF(管理者入力シート!$B$14=1,EI4*管理者用人口入力シート!AV$4,IF(管理者入力シート!$B$14=2,EI4*管理者用人口入力シート!AV$8))</f>
        <v>1072.3521129841045</v>
      </c>
      <c r="EK7" s="10">
        <f>IF(管理者入力シート!$B$14=1,EJ4*管理者用人口入力シート!AW$4,IF(管理者入力シート!$B$14=2,EJ4*管理者用人口入力シート!AW$8))</f>
        <v>1155.5830018802808</v>
      </c>
      <c r="EL7" s="10">
        <f>IF(管理者入力シート!$B$14=1,EK4*管理者用人口入力シート!AX$4,IF(管理者入力シート!$B$14=2,EK4*管理者用人口入力シート!AX$8))</f>
        <v>1033.2303139274279</v>
      </c>
      <c r="EM7" s="10">
        <f>IF(管理者入力シート!$B$14=1,EL4*管理者用人口入力シート!AY$4,IF(管理者入力シート!$B$14=2,EL4*管理者用人口入力シート!AY$8))</f>
        <v>1114.5369356593153</v>
      </c>
      <c r="EN7" s="10">
        <f>IF(管理者入力シート!$B$14=1,EM4*管理者用人口入力シート!AZ$4,IF(管理者入力シート!$B$14=2,EM4*管理者用人口入力シート!AZ$8))</f>
        <v>1108.7000841948159</v>
      </c>
      <c r="EO7" s="10">
        <f>IF(管理者入力シート!$B$14=1,EN4*管理者用人口入力シート!BA$4,IF(管理者入力シート!$B$14=2,EN4*管理者用人口入力シート!BA$8))</f>
        <v>1241.0173110414914</v>
      </c>
      <c r="EP7" s="10">
        <f>IF(管理者入力シート!$B$14=1,EO4*管理者用人口入力シート!BB$4,IF(管理者入力シート!$B$14=2,EO4*管理者用人口入力シート!BB$8))</f>
        <v>1188.4445138715814</v>
      </c>
      <c r="EQ7" s="10">
        <f>IF(管理者入力シート!$B$14=1,EP4*管理者用人口入力シート!BC$4,IF(管理者入力シート!$B$14=2,EP4*管理者用人口入力シート!BC$8))</f>
        <v>762.28806330695943</v>
      </c>
      <c r="ER7" s="10">
        <f>IF(管理者入力シート!$B$14=1,EQ4*管理者用人口入力シート!BD$4,IF(管理者入力シート!$B$14=2,EQ4*管理者用人口入力シート!BD$8))</f>
        <v>493.33309819690373</v>
      </c>
      <c r="ES7" s="10">
        <f>IF(管理者入力シート!$B$14=1,ER4*管理者用人口入力シート!BE$4,IF(管理者入力シート!$B$14=2,ER4*管理者用人口入力シート!BE$8))</f>
        <v>219.59527292230626</v>
      </c>
      <c r="ET7" s="10">
        <f>IF(管理者入力シート!$B$14=1,ES4*管理者用人口入力シート!BF$4,IF(管理者入力シート!$B$14=2,ES4*管理者用人口入力シート!BF$8))</f>
        <v>50.439396241804431</v>
      </c>
      <c r="EU7" s="10">
        <f t="shared" si="71"/>
        <v>17928.295614664527</v>
      </c>
      <c r="EV7" s="10">
        <f t="shared" si="41"/>
        <v>700.78895640047517</v>
      </c>
      <c r="EW7" s="10">
        <f t="shared" si="42"/>
        <v>363.97686898104371</v>
      </c>
      <c r="EX7" s="10">
        <f t="shared" si="10"/>
        <v>6178.3546754351792</v>
      </c>
      <c r="EY7" s="10">
        <f t="shared" si="43"/>
        <v>3955.1176555810466</v>
      </c>
      <c r="EZ7" s="14">
        <f t="shared" si="44"/>
        <v>0.34461472569548479</v>
      </c>
      <c r="FA7" s="14">
        <f t="shared" si="45"/>
        <v>0.22060756586063546</v>
      </c>
      <c r="FB7" s="10">
        <f t="shared" si="72"/>
        <v>3904.8018929594627</v>
      </c>
    </row>
    <row r="8" spans="1:158" x14ac:dyDescent="0.15">
      <c r="A8" s="7" t="str">
        <f t="shared" si="11"/>
        <v>2010_3</v>
      </c>
      <c r="B8" s="30">
        <v>2010</v>
      </c>
      <c r="C8" s="5" t="s">
        <v>23</v>
      </c>
      <c r="D8" s="11">
        <v>1898.1262655266064</v>
      </c>
      <c r="E8" s="11">
        <v>1879.9539229707627</v>
      </c>
      <c r="F8" s="11">
        <v>1947.6184898175834</v>
      </c>
      <c r="G8" s="11">
        <v>1659.0839549946945</v>
      </c>
      <c r="H8" s="11">
        <v>1466.1984531784656</v>
      </c>
      <c r="I8" s="11">
        <v>2202.9506195341937</v>
      </c>
      <c r="J8" s="11">
        <v>2463.4014259772721</v>
      </c>
      <c r="K8" s="11">
        <v>2614.4631584281619</v>
      </c>
      <c r="L8" s="11">
        <v>2160.4624657135309</v>
      </c>
      <c r="M8" s="11">
        <v>2363.3564461850642</v>
      </c>
      <c r="N8" s="11">
        <v>2432.6127689244931</v>
      </c>
      <c r="O8" s="11">
        <v>2919.0526426360202</v>
      </c>
      <c r="P8" s="11">
        <v>3023.1998761163131</v>
      </c>
      <c r="Q8" s="11">
        <v>2240.4462235220694</v>
      </c>
      <c r="R8" s="11">
        <v>2191.574787470121</v>
      </c>
      <c r="S8" s="11">
        <v>2200.4730318253983</v>
      </c>
      <c r="T8" s="11">
        <v>1740.6719580752861</v>
      </c>
      <c r="U8" s="11">
        <v>881.99270951608219</v>
      </c>
      <c r="V8" s="11">
        <v>387.23549353112185</v>
      </c>
      <c r="W8" s="11">
        <v>142.11961345713902</v>
      </c>
      <c r="X8" s="11">
        <v>15.005692599620494</v>
      </c>
      <c r="Y8" s="11">
        <f t="shared" si="68"/>
        <v>38830</v>
      </c>
      <c r="Z8" s="11">
        <f t="shared" si="12"/>
        <v>2296.5434476730079</v>
      </c>
      <c r="AA8" s="11">
        <f t="shared" si="13"/>
        <v>1110.8641869259723</v>
      </c>
      <c r="AB8" s="11">
        <f t="shared" si="0"/>
        <v>9799.5195099968369</v>
      </c>
      <c r="AC8" s="11">
        <f t="shared" si="14"/>
        <v>5367.4984990046487</v>
      </c>
      <c r="AD8" s="15">
        <f t="shared" si="15"/>
        <v>0.25236980453249647</v>
      </c>
      <c r="AE8" s="15">
        <f t="shared" si="16"/>
        <v>0.13823071076499224</v>
      </c>
      <c r="AF8" s="11">
        <f t="shared" si="17"/>
        <v>8747.0136571180938</v>
      </c>
      <c r="AH8" s="7"/>
      <c r="AI8" s="30" t="s">
        <v>88</v>
      </c>
      <c r="AJ8" s="5">
        <f>AJ7</f>
        <v>2010</v>
      </c>
      <c r="AK8" s="5">
        <f>AK7</f>
        <v>2020</v>
      </c>
      <c r="AL8" s="33" t="s">
        <v>22</v>
      </c>
      <c r="AM8" s="47">
        <f t="shared" si="73"/>
        <v>0.94448940980266682</v>
      </c>
      <c r="AN8" s="47">
        <f t="shared" si="73"/>
        <v>0.94365009475753969</v>
      </c>
      <c r="AO8" s="47">
        <f t="shared" si="73"/>
        <v>0.8699217614668372</v>
      </c>
      <c r="AP8" s="47">
        <f t="shared" si="73"/>
        <v>0.7133148280948497</v>
      </c>
      <c r="AQ8" s="47">
        <f t="shared" si="73"/>
        <v>1.1155130846174697</v>
      </c>
      <c r="AR8" s="47">
        <f t="shared" si="73"/>
        <v>0.93787100021057179</v>
      </c>
      <c r="AS8" s="47">
        <f t="shared" si="73"/>
        <v>0.93017424227431766</v>
      </c>
      <c r="AT8" s="47">
        <f t="shared" si="73"/>
        <v>0.9576341317494339</v>
      </c>
      <c r="AU8" s="47">
        <f t="shared" si="73"/>
        <v>0.95703435984020035</v>
      </c>
      <c r="AV8" s="47">
        <f t="shared" si="73"/>
        <v>0.98892012517122563</v>
      </c>
      <c r="AW8" s="47">
        <f t="shared" si="73"/>
        <v>0.98707171238115254</v>
      </c>
      <c r="AX8" s="47">
        <f t="shared" si="73"/>
        <v>0.97061371822105713</v>
      </c>
      <c r="AY8" s="47">
        <f t="shared" si="73"/>
        <v>0.9487998996035617</v>
      </c>
      <c r="AZ8" s="47">
        <f t="shared" si="73"/>
        <v>0.95407900100051568</v>
      </c>
      <c r="BA8" s="47">
        <f t="shared" si="73"/>
        <v>0.93658332137873146</v>
      </c>
      <c r="BB8" s="47">
        <f t="shared" si="73"/>
        <v>0.88204857217983279</v>
      </c>
      <c r="BC8" s="47">
        <f t="shared" si="73"/>
        <v>0.7785175033974745</v>
      </c>
      <c r="BD8" s="47">
        <f t="shared" si="73"/>
        <v>0.62776064775220075</v>
      </c>
      <c r="BE8" s="47">
        <f t="shared" si="73"/>
        <v>0.39684840773742652</v>
      </c>
      <c r="BF8" s="47">
        <f t="shared" si="73"/>
        <v>0.24094173463645932</v>
      </c>
      <c r="BH8" s="7" t="str">
        <f t="shared" si="19"/>
        <v>2030_3</v>
      </c>
      <c r="BI8" s="30">
        <f>BI7</f>
        <v>2030</v>
      </c>
      <c r="BJ8" s="5" t="s">
        <v>23</v>
      </c>
      <c r="BK8" s="16">
        <f>BK6+BK7</f>
        <v>1056.915739145019</v>
      </c>
      <c r="BL8" s="16">
        <f t="shared" ref="BL8" si="74">BL6+BL7</f>
        <v>1110.9669197020276</v>
      </c>
      <c r="BM8" s="16">
        <f t="shared" ref="BM8" si="75">BM6+BM7</f>
        <v>1234.3793238964604</v>
      </c>
      <c r="BN8" s="16">
        <f t="shared" ref="BN8" si="76">BN6+BN7</f>
        <v>1237.8933566773983</v>
      </c>
      <c r="BO8" s="16">
        <f t="shared" ref="BO8" si="77">BO6+BO7</f>
        <v>1074.1956409902568</v>
      </c>
      <c r="BP8" s="16">
        <f t="shared" ref="BP8" si="78">BP6+BP7</f>
        <v>1370.2023413195341</v>
      </c>
      <c r="BQ8" s="16">
        <f t="shared" ref="BQ8" si="79">BQ6+BQ7</f>
        <v>1401.4568462725574</v>
      </c>
      <c r="BR8" s="16">
        <f t="shared" ref="BR8" si="80">BR6+BR7</f>
        <v>1331.4757998127384</v>
      </c>
      <c r="BS8" s="16">
        <f t="shared" ref="BS8" si="81">BS6+BS7</f>
        <v>1469.7502740561877</v>
      </c>
      <c r="BT8" s="16">
        <f t="shared" ref="BT8" si="82">BT6+BT7</f>
        <v>1751.4806937504507</v>
      </c>
      <c r="BU8" s="16">
        <f t="shared" ref="BU8" si="83">BU6+BU7</f>
        <v>2121.3242672865781</v>
      </c>
      <c r="BV8" s="16">
        <f t="shared" ref="BV8" si="84">BV6+BV7</f>
        <v>2360.7237393874698</v>
      </c>
      <c r="BW8" s="16">
        <f t="shared" ref="BW8" si="85">BW6+BW7</f>
        <v>2001.6771055499294</v>
      </c>
      <c r="BX8" s="16">
        <f t="shared" ref="BX8" si="86">BX6+BX7</f>
        <v>2083.4786374809496</v>
      </c>
      <c r="BY8" s="16">
        <f t="shared" ref="BY8" si="87">BY6+BY7</f>
        <v>2038.8410521988485</v>
      </c>
      <c r="BZ8" s="16">
        <f t="shared" ref="BZ8" si="88">BZ6+BZ7</f>
        <v>2202.7721992734528</v>
      </c>
      <c r="CA8" s="16">
        <f t="shared" ref="CA8" si="89">CA6+CA7</f>
        <v>2067.4101638369816</v>
      </c>
      <c r="CB8" s="16">
        <f t="shared" ref="CB8" si="90">CB6+CB7</f>
        <v>1152.3217312636625</v>
      </c>
      <c r="CC8" s="16">
        <f t="shared" ref="CC8" si="91">CC6+CC7</f>
        <v>700.89372803774916</v>
      </c>
      <c r="CD8" s="16">
        <f t="shared" ref="CD8" si="92">CD6+CD7</f>
        <v>280.35598887808783</v>
      </c>
      <c r="CE8" s="16">
        <f t="shared" ref="CE8" si="93">CE6+CE7</f>
        <v>54.766663188144065</v>
      </c>
      <c r="CF8" s="11">
        <f t="shared" si="2"/>
        <v>30103.282212004484</v>
      </c>
      <c r="CG8" s="11">
        <f t="shared" si="20"/>
        <v>1407.2077461590927</v>
      </c>
      <c r="CH8" s="11">
        <f t="shared" si="21"/>
        <v>741.33040089406381</v>
      </c>
      <c r="CI8" s="11">
        <f t="shared" si="3"/>
        <v>10580.840164157875</v>
      </c>
      <c r="CJ8" s="11">
        <f t="shared" si="22"/>
        <v>6458.5204744780785</v>
      </c>
      <c r="CK8" s="15">
        <f t="shared" si="23"/>
        <v>0.35148460189960562</v>
      </c>
      <c r="CL8" s="15">
        <f t="shared" si="24"/>
        <v>0.2145453917281675</v>
      </c>
      <c r="CM8" s="11">
        <f t="shared" si="25"/>
        <v>5177.330628395086</v>
      </c>
      <c r="CO8" s="7" t="str">
        <f t="shared" si="26"/>
        <v>2030_3</v>
      </c>
      <c r="CP8" s="30">
        <f>CP7</f>
        <v>2030</v>
      </c>
      <c r="CQ8" s="5" t="s">
        <v>23</v>
      </c>
      <c r="CR8" s="16">
        <f>CR6+CR7</f>
        <v>1060.7484990569208</v>
      </c>
      <c r="CS8" s="16">
        <f t="shared" ref="CS8" si="94">CS6+CS7</f>
        <v>1112.8185094310106</v>
      </c>
      <c r="CT8" s="16">
        <f t="shared" ref="CT8" si="95">CT6+CT7</f>
        <v>1236.3793238964604</v>
      </c>
      <c r="CU8" s="16">
        <f t="shared" ref="CU8" si="96">CU6+CU7</f>
        <v>1239.5947077375899</v>
      </c>
      <c r="CV8" s="16">
        <f t="shared" ref="CV8" si="97">CV6+CV7</f>
        <v>1074.1956409902568</v>
      </c>
      <c r="CW8" s="16">
        <f t="shared" ref="CW8" si="98">CW6+CW7</f>
        <v>1374.2023413195341</v>
      </c>
      <c r="CX8" s="16">
        <f t="shared" ref="CX8" si="99">CX6+CX7</f>
        <v>1405.1987016756257</v>
      </c>
      <c r="CY8" s="16">
        <f t="shared" ref="CY8" si="100">CY6+CY7</f>
        <v>1331.4757998127384</v>
      </c>
      <c r="CZ8" s="16">
        <f t="shared" ref="CZ8" si="101">CZ6+CZ7</f>
        <v>1470.7502740561877</v>
      </c>
      <c r="DA8" s="16">
        <f t="shared" ref="DA8" si="102">DA6+DA7</f>
        <v>1752.4377281102909</v>
      </c>
      <c r="DB8" s="16">
        <f t="shared" ref="DB8" si="103">DB6+DB7</f>
        <v>2121.3242672865781</v>
      </c>
      <c r="DC8" s="16">
        <f t="shared" ref="DC8" si="104">DC6+DC7</f>
        <v>2360.7237393874698</v>
      </c>
      <c r="DD8" s="16">
        <f t="shared" ref="DD8" si="105">DD6+DD7</f>
        <v>2001.6771055499294</v>
      </c>
      <c r="DE8" s="16">
        <f t="shared" ref="DE8" si="106">DE6+DE7</f>
        <v>2083.4786374809496</v>
      </c>
      <c r="DF8" s="16">
        <f t="shared" ref="DF8" si="107">DF6+DF7</f>
        <v>2038.8410521988485</v>
      </c>
      <c r="DG8" s="16">
        <f t="shared" ref="DG8" si="108">DG6+DG7</f>
        <v>2202.7721992734528</v>
      </c>
      <c r="DH8" s="16">
        <f t="shared" ref="DH8" si="109">DH6+DH7</f>
        <v>2067.4101638369816</v>
      </c>
      <c r="DI8" s="16">
        <f t="shared" ref="DI8" si="110">DI6+DI7</f>
        <v>1152.3217312636625</v>
      </c>
      <c r="DJ8" s="16">
        <f t="shared" ref="DJ8" si="111">DJ6+DJ7</f>
        <v>700.89372803774916</v>
      </c>
      <c r="DK8" s="16">
        <f t="shared" ref="DK8" si="112">DK6+DK7</f>
        <v>280.35598887808783</v>
      </c>
      <c r="DL8" s="16">
        <f t="shared" ref="DL8" si="113">DL6+DL7</f>
        <v>54.766663188144065</v>
      </c>
      <c r="DM8" s="11">
        <f t="shared" si="69"/>
        <v>30122.366802468467</v>
      </c>
      <c r="DN8" s="11">
        <f t="shared" si="34"/>
        <v>1409.5186999964826</v>
      </c>
      <c r="DO8" s="11">
        <f t="shared" si="35"/>
        <v>742.47067110610215</v>
      </c>
      <c r="DP8" s="11">
        <f t="shared" si="6"/>
        <v>10580.840164157875</v>
      </c>
      <c r="DQ8" s="11">
        <f t="shared" si="36"/>
        <v>6458.5204744780785</v>
      </c>
      <c r="DR8" s="15">
        <f t="shared" si="37"/>
        <v>0.35126191223761327</v>
      </c>
      <c r="DS8" s="15">
        <f t="shared" si="38"/>
        <v>0.21440946247121645</v>
      </c>
      <c r="DT8" s="11">
        <f t="shared" si="70"/>
        <v>5185.0724837981543</v>
      </c>
      <c r="DV8" s="7" t="s">
        <v>402</v>
      </c>
      <c r="DW8" s="210">
        <f>(SUM(BK13:BW13)-SUM(D13:P13))/4</f>
        <v>-1115.018381795064</v>
      </c>
      <c r="DX8" s="30">
        <f>DX7</f>
        <v>2030</v>
      </c>
      <c r="DY8" s="5" t="s">
        <v>23</v>
      </c>
      <c r="DZ8" s="16">
        <f>DZ6+DZ7</f>
        <v>1846.5017466481918</v>
      </c>
      <c r="EA8" s="16">
        <f t="shared" ref="EA8:ET8" si="114">EA6+EA7</f>
        <v>1110.9669197020276</v>
      </c>
      <c r="EB8" s="16">
        <f t="shared" si="114"/>
        <v>1234.3793238964604</v>
      </c>
      <c r="EC8" s="16">
        <f t="shared" si="114"/>
        <v>1237.8933566773983</v>
      </c>
      <c r="ED8" s="16">
        <f t="shared" si="114"/>
        <v>1074.1956409902568</v>
      </c>
      <c r="EE8" s="16">
        <f t="shared" si="114"/>
        <v>2056.2023413195338</v>
      </c>
      <c r="EF8" s="16">
        <f t="shared" si="114"/>
        <v>2729.1850478987521</v>
      </c>
      <c r="EG8" s="16">
        <f t="shared" si="114"/>
        <v>2651.2906065083189</v>
      </c>
      <c r="EH8" s="16">
        <f t="shared" si="114"/>
        <v>2124.7121923293225</v>
      </c>
      <c r="EI8" s="16">
        <f t="shared" si="114"/>
        <v>1751.4806937504507</v>
      </c>
      <c r="EJ8" s="16">
        <f t="shared" si="114"/>
        <v>2121.3242672865781</v>
      </c>
      <c r="EK8" s="16">
        <f t="shared" si="114"/>
        <v>2360.7237393874698</v>
      </c>
      <c r="EL8" s="16">
        <f t="shared" si="114"/>
        <v>2001.6771055499294</v>
      </c>
      <c r="EM8" s="16">
        <f t="shared" si="114"/>
        <v>2083.4786374809496</v>
      </c>
      <c r="EN8" s="16">
        <f t="shared" si="114"/>
        <v>2038.8410521988485</v>
      </c>
      <c r="EO8" s="16">
        <f t="shared" si="114"/>
        <v>2202.7721992734528</v>
      </c>
      <c r="EP8" s="16">
        <f t="shared" si="114"/>
        <v>2067.4101638369816</v>
      </c>
      <c r="EQ8" s="16">
        <f t="shared" si="114"/>
        <v>1152.3217312636625</v>
      </c>
      <c r="ER8" s="16">
        <f t="shared" si="114"/>
        <v>700.89372803774916</v>
      </c>
      <c r="ES8" s="16">
        <f t="shared" si="114"/>
        <v>280.35598887808783</v>
      </c>
      <c r="ET8" s="16">
        <f t="shared" si="114"/>
        <v>54.766663188144065</v>
      </c>
      <c r="EU8" s="11">
        <f t="shared" si="71"/>
        <v>34881.373146102567</v>
      </c>
      <c r="EV8" s="11">
        <f t="shared" si="41"/>
        <v>1407.2077461590927</v>
      </c>
      <c r="EW8" s="11">
        <f t="shared" si="42"/>
        <v>741.33040089406381</v>
      </c>
      <c r="EX8" s="11">
        <f t="shared" si="10"/>
        <v>10580.840164157875</v>
      </c>
      <c r="EY8" s="11">
        <f t="shared" si="43"/>
        <v>6458.5204744780785</v>
      </c>
      <c r="EZ8" s="15">
        <f t="shared" si="44"/>
        <v>0.3033378336294113</v>
      </c>
      <c r="FA8" s="15">
        <f t="shared" si="45"/>
        <v>0.18515671523096888</v>
      </c>
      <c r="FB8" s="11">
        <f t="shared" si="72"/>
        <v>8510.8736367168622</v>
      </c>
    </row>
    <row r="9" spans="1:158" x14ac:dyDescent="0.15">
      <c r="A9" s="7" t="str">
        <f t="shared" si="11"/>
        <v>2015_1</v>
      </c>
      <c r="B9" s="28">
        <v>2015</v>
      </c>
      <c r="C9" s="3" t="s">
        <v>21</v>
      </c>
      <c r="D9" s="9">
        <v>918.40387053899235</v>
      </c>
      <c r="E9" s="9">
        <v>911.12771117813509</v>
      </c>
      <c r="F9" s="9">
        <v>932.18119351728217</v>
      </c>
      <c r="G9" s="9">
        <v>841.8854798340758</v>
      </c>
      <c r="H9" s="9">
        <v>715.40682341197999</v>
      </c>
      <c r="I9" s="9">
        <v>907.3508450885621</v>
      </c>
      <c r="J9" s="9">
        <v>1056.5564884335861</v>
      </c>
      <c r="K9" s="9">
        <v>1135.452648486438</v>
      </c>
      <c r="L9" s="9">
        <v>1238.1651397914989</v>
      </c>
      <c r="M9" s="9">
        <v>1039.3798939418007</v>
      </c>
      <c r="N9" s="9">
        <v>1071.9928233610115</v>
      </c>
      <c r="O9" s="9">
        <v>1158.5486824174104</v>
      </c>
      <c r="P9" s="9">
        <v>1316.5304059020375</v>
      </c>
      <c r="Q9" s="9">
        <v>1389.9883962665581</v>
      </c>
      <c r="R9" s="9">
        <v>877.62368723501072</v>
      </c>
      <c r="S9" s="9">
        <v>826.5505168447628</v>
      </c>
      <c r="T9" s="9">
        <v>710.78168878445524</v>
      </c>
      <c r="U9" s="9">
        <v>365.4643933196088</v>
      </c>
      <c r="V9" s="9">
        <v>121.49323507252946</v>
      </c>
      <c r="W9" s="9">
        <v>22.092756217282602</v>
      </c>
      <c r="X9" s="9">
        <v>5.0233203569808698</v>
      </c>
      <c r="Y9" s="9">
        <f t="shared" si="68"/>
        <v>17562.000000000004</v>
      </c>
      <c r="Z9" s="9">
        <f t="shared" si="12"/>
        <v>1105.9853428172503</v>
      </c>
      <c r="AA9" s="9">
        <f t="shared" si="13"/>
        <v>541.24957337372803</v>
      </c>
      <c r="AB9" s="9">
        <f t="shared" si="0"/>
        <v>4319.0179940971884</v>
      </c>
      <c r="AC9" s="9">
        <f t="shared" si="14"/>
        <v>2051.4059105956198</v>
      </c>
      <c r="AD9" s="13">
        <f t="shared" si="15"/>
        <v>0.2459297343182546</v>
      </c>
      <c r="AE9" s="13">
        <f t="shared" si="16"/>
        <v>0.11680935602981547</v>
      </c>
      <c r="AF9" s="9">
        <f t="shared" si="17"/>
        <v>3814.766805420566</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501.58307696160324</v>
      </c>
      <c r="BL9" s="9">
        <f>IF(管理者入力シート!$B$14=1,BK6*管理者用人口入力シート!AM$3,IF(管理者入力シート!$B$14=2,BK6*管理者用人口入力シート!AM$7))</f>
        <v>490.52269201764244</v>
      </c>
      <c r="BM9" s="9">
        <f>IF(管理者入力シート!$B$14=1,BL6*管理者用人口入力シート!AN$3,IF(管理者入力シート!$B$14=2,BL6*管理者用人口入力シート!AN$7))</f>
        <v>527.63056870270111</v>
      </c>
      <c r="BN9" s="9">
        <f>IF(管理者入力シート!$B$14=1,BM6*管理者用人口入力シート!AO$3,IF(管理者入力シート!$B$14=2,BM6*管理者用人口入力シート!AO$7))</f>
        <v>515.62500703590683</v>
      </c>
      <c r="BO9" s="9">
        <f>IF(管理者入力シート!$B$14=1,BN6*管理者用人口入力シート!AP$3,IF(管理者入力シート!$B$14=2,BN6*管理者用人口入力シート!AP$7))</f>
        <v>526.57866697471241</v>
      </c>
      <c r="BP9" s="9">
        <f>IF(管理者入力シート!$B$14=1,BO6*管理者用人口入力シート!AQ$3,IF(管理者入力シート!$B$14=2,BO6*管理者用人口入力シート!AQ$7))</f>
        <v>736.97511485845348</v>
      </c>
      <c r="BQ9" s="9">
        <f>IF(管理者入力シート!$B$14=1,BP6*管理者用人口入力シート!AR$3,IF(管理者入力シート!$B$14=2,BP6*管理者用人口入力シート!AR$7))</f>
        <v>742.07674198491441</v>
      </c>
      <c r="BR9" s="9">
        <f>IF(管理者入力シート!$B$14=1,BQ6*管理者用人口入力シート!AS$3,IF(管理者入力シート!$B$14=2,BQ6*管理者用人口入力シート!AS$7))</f>
        <v>733.52828728758732</v>
      </c>
      <c r="BS9" s="9">
        <f>IF(管理者入力シート!$B$14=1,BR6*管理者用人口入力シート!AT$3,IF(管理者入力シート!$B$14=2,BR6*管理者用人口入力シート!AT$7))</f>
        <v>731.28687782558427</v>
      </c>
      <c r="BT9" s="9">
        <f>IF(管理者入力シート!$B$14=1,BS6*管理者用人口入力シート!AU$3,IF(管理者入力シート!$B$14=2,BS6*管理者用人口入力シート!AU$7))</f>
        <v>727.1869688182577</v>
      </c>
      <c r="BU9" s="9">
        <f>IF(管理者入力シート!$B$14=1,BT6*管理者用人口入力シート!AV$3,IF(管理者入力シート!$B$14=2,BT6*管理者用人口入力シート!AV$7))</f>
        <v>868.26343684394442</v>
      </c>
      <c r="BV9" s="9">
        <f>IF(管理者入力シート!$B$14=1,BU6*管理者用人口入力シート!AW$3,IF(管理者入力シート!$B$14=2,BU6*管理者用人口入力シート!AW$7))</f>
        <v>1056.9929652048402</v>
      </c>
      <c r="BW9" s="9">
        <f>IF(管理者入力シート!$B$14=1,BV6*管理者用人口入力シート!AX$3,IF(管理者入力シート!$B$14=2,BV6*管理者用人口入力シート!AX$7))</f>
        <v>1136.2323813148005</v>
      </c>
      <c r="BX9" s="9">
        <f>IF(管理者入力シート!$B$14=1,BW6*管理者用人口入力シート!AY$3,IF(管理者入力シート!$B$14=2,BW6*管理者用人口入力シート!AY$7))</f>
        <v>916.71277296679477</v>
      </c>
      <c r="BY9" s="9">
        <f>IF(管理者入力シート!$B$14=1,BX6*管理者用人口入力シート!AZ$3,IF(管理者入力シート!$B$14=2,BX6*管理者用人口入力シート!AZ$7))</f>
        <v>869.60382285185983</v>
      </c>
      <c r="BZ9" s="9">
        <f>IF(管理者入力シート!$B$14=1,BY6*管理者用人口入力シート!BA$3,IF(管理者入力シート!$B$14=2,BY6*管理者用人口入力シート!BA$7))</f>
        <v>810.59989094614446</v>
      </c>
      <c r="CA9" s="9">
        <f>IF(管理者入力シート!$B$14=1,BZ6*管理者用人口入力シート!BB$3,IF(管理者入力シート!$B$14=2,BZ6*管理者用人口入力シート!BB$7))</f>
        <v>758.39822274178982</v>
      </c>
      <c r="CB9" s="9">
        <f>IF(管理者入力シート!$B$14=1,CA6*管理者用人口入力シート!BC$3,IF(管理者入力シート!$B$14=2,CA6*管理者用人口入力シート!BC$7))</f>
        <v>554.77436533520029</v>
      </c>
      <c r="CC9" s="9">
        <f>IF(管理者入力シート!$B$14=1,CB6*管理者用人口入力シート!BD$3,IF(管理者入力シート!$B$14=2,CB6*管理者用人口入力シート!BD$7))</f>
        <v>189.59520061433707</v>
      </c>
      <c r="CD9" s="9">
        <f>IF(管理者入力シート!$B$14=1,CC6*管理者用人口入力シート!BE$3,IF(管理者入力シート!$B$14=2,CC6*管理者用人口入力シート!BE$7))</f>
        <v>57.432288444374244</v>
      </c>
      <c r="CE9" s="9">
        <f>IF(管理者入力シート!$B$14=1,CD6*管理者用人口入力シート!BF$3,IF(管理者入力シート!$B$14=2,CD6*管理者用人口入力シート!BF$7))</f>
        <v>5.4214551990064006</v>
      </c>
      <c r="CF9" s="9">
        <f t="shared" si="2"/>
        <v>13457.020804930457</v>
      </c>
      <c r="CG9" s="9">
        <f t="shared" si="20"/>
        <v>610.89195643220614</v>
      </c>
      <c r="CH9" s="9">
        <f t="shared" si="21"/>
        <v>314.17722888826182</v>
      </c>
      <c r="CI9" s="9">
        <f t="shared" si="3"/>
        <v>4162.5380190995074</v>
      </c>
      <c r="CJ9" s="9">
        <f t="shared" si="22"/>
        <v>2376.2214232808519</v>
      </c>
      <c r="CK9" s="13">
        <f t="shared" si="23"/>
        <v>0.30932091726977295</v>
      </c>
      <c r="CL9" s="13">
        <f t="shared" si="24"/>
        <v>0.17657856502757571</v>
      </c>
      <c r="CM9" s="9">
        <f t="shared" si="25"/>
        <v>2739.1588111056676</v>
      </c>
      <c r="CO9" s="7" t="str">
        <f t="shared" si="26"/>
        <v>2035_1</v>
      </c>
      <c r="CP9" s="28">
        <f>管理者入力シート!B10</f>
        <v>2035</v>
      </c>
      <c r="CQ9" s="3" t="s">
        <v>21</v>
      </c>
      <c r="CR9" s="9">
        <f>DT10*$AK$13+将来予測シート②!$G17</f>
        <v>504.09305590787733</v>
      </c>
      <c r="CS9" s="9">
        <f>IF(管理者入力シート!$B$14=1,CR6*管理者用人口入力シート!AM$3,IF(管理者入力シート!$B$14=2,CR6*管理者用人口入力シート!AM$7))+将来予測シート②!$G18</f>
        <v>492.28039025348846</v>
      </c>
      <c r="CT9" s="9">
        <f>IF(管理者入力シート!$B$14=1,CS6*管理者用人口入力シート!AN$3,IF(管理者入力シート!$B$14=2,CS6*管理者用人口入力シート!AN$7))+将来予測シート②!$G19</f>
        <v>529.48953472764981</v>
      </c>
      <c r="CU9" s="9">
        <f>IF(管理者入力シート!$B$14=1,CT6*管理者用人口入力シート!AO$3,IF(管理者入力シート!$B$14=2,CT6*管理者用人口入力シート!AO$7))+将来予測シート②!$G20</f>
        <v>516.45643633463146</v>
      </c>
      <c r="CV9" s="9">
        <f>IF(管理者入力シート!$B$14=1,CU6*管理者用人口入力シート!AP$3,IF(管理者入力シート!$B$14=2,CU6*管理者用人口入力シート!AP$7))+将来予測シート②!$G21</f>
        <v>527.25594129999172</v>
      </c>
      <c r="CW9" s="9">
        <f>IF(管理者入力シート!$B$14=1,CV6*管理者用人口入力シート!AQ$3,IF(管理者入力シート!$B$14=2,CV6*管理者用人口入力シート!AQ$7))+将来予測シート②!$G22</f>
        <v>738.97511485845348</v>
      </c>
      <c r="CX9" s="9">
        <f>IF(管理者入力シート!$B$14=1,CW6*管理者用人口入力シート!AR$3,IF(管理者入力シート!$B$14=2,CW6*管理者用人口入力シート!AR$7))+将来予測シート②!$G23</f>
        <v>743.94285538756139</v>
      </c>
      <c r="CY9" s="9">
        <f>IF(管理者入力シート!$B$14=1,CX6*管理者用人口入力シート!AS$3,IF(管理者入力シート!$B$14=2,CX6*管理者用人口入力シート!AS$7))+将来予測シート②!$G24</f>
        <v>735.24078659605993</v>
      </c>
      <c r="CZ9" s="9">
        <f>IF(管理者入力シート!$B$14=1,CY6*管理者用人口入力シート!AT$3,IF(管理者入力シート!$B$14=2,CY6*管理者用人口入力シート!AT$7))+将来予測シート②!$G25</f>
        <v>731.28687782558427</v>
      </c>
      <c r="DA9" s="9">
        <f>IF(管理者入力シート!$B$14=1,CZ6*管理者用人口入力シート!AU$3,IF(管理者入力シート!$B$14=2,CZ6*管理者用人口入力シート!AU$7))+将来予測シート②!$G26</f>
        <v>727.1869688182577</v>
      </c>
      <c r="DB9" s="9">
        <f>IF(管理者入力シート!$B$14=1,DA6*管理者用人口入力シート!AV$3,IF(管理者入力シート!$B$14=2,DA6*管理者用人口入力シート!AV$7))+将来予測シート②!$G27</f>
        <v>868.26343684394442</v>
      </c>
      <c r="DC9" s="9">
        <f>IF(管理者入力シート!$B$14=1,DB6*管理者用人口入力シート!AW$3,IF(管理者入力シート!$B$14=2,DB6*管理者用人口入力シート!AW$7))+将来予測シート②!$G28</f>
        <v>1056.9929652048402</v>
      </c>
      <c r="DD9" s="9">
        <f>IF(管理者入力シート!$B$14=1,DC6*管理者用人口入力シート!AX$3,IF(管理者入力シート!$B$14=2,DC6*管理者用人口入力シート!AX$7))+将来予測シート②!$G29</f>
        <v>1136.2323813148005</v>
      </c>
      <c r="DE9" s="9">
        <f>IF(管理者入力シート!$B$14=1,DD6*管理者用人口入力シート!AY$3,IF(管理者入力シート!$B$14=2,DD6*管理者用人口入力シート!AY$7))</f>
        <v>916.71277296679477</v>
      </c>
      <c r="DF9" s="9">
        <f>IF(管理者入力シート!$B$14=1,DE6*管理者用人口入力シート!AZ$3,IF(管理者入力シート!$B$14=2,DE6*管理者用人口入力シート!AZ$7))</f>
        <v>869.60382285185983</v>
      </c>
      <c r="DG9" s="9">
        <f>IF(管理者入力シート!$B$14=1,DF6*管理者用人口入力シート!BA$3,IF(管理者入力シート!$B$14=2,DF6*管理者用人口入力シート!BA$7))</f>
        <v>810.59989094614446</v>
      </c>
      <c r="DH9" s="9">
        <f>IF(管理者入力シート!$B$14=1,DG6*管理者用人口入力シート!BB$3,IF(管理者入力シート!$B$14=2,DG6*管理者用人口入力シート!BB$7))</f>
        <v>758.39822274178982</v>
      </c>
      <c r="DI9" s="9">
        <f>IF(管理者入力シート!$B$14=1,DH6*管理者用人口入力シート!BC$3,IF(管理者入力シート!$B$14=2,DH6*管理者用人口入力シート!BC$7))</f>
        <v>554.77436533520029</v>
      </c>
      <c r="DJ9" s="9">
        <f>IF(管理者入力シート!$B$14=1,DI6*管理者用人口入力シート!BD$3,IF(管理者入力シート!$B$14=2,DI6*管理者用人口入力シート!BD$7))</f>
        <v>189.59520061433707</v>
      </c>
      <c r="DK9" s="9">
        <f>IF(管理者入力シート!$B$14=1,DJ6*管理者用人口入力シート!BE$3,IF(管理者入力シート!$B$14=2,DJ6*管理者用人口入力シート!BE$7))</f>
        <v>57.432288444374244</v>
      </c>
      <c r="DL9" s="9">
        <f>IF(管理者入力シート!$B$14=1,DK6*管理者用人口入力シート!BF$3,IF(管理者入力シート!$B$14=2,DK6*管理者用人口入力シート!BF$7))</f>
        <v>5.4214551990064006</v>
      </c>
      <c r="DM9" s="9">
        <f t="shared" si="69"/>
        <v>13470.234764472649</v>
      </c>
      <c r="DN9" s="9">
        <f t="shared" si="34"/>
        <v>613.06195498868306</v>
      </c>
      <c r="DO9" s="9">
        <f t="shared" si="35"/>
        <v>315.08710115798624</v>
      </c>
      <c r="DP9" s="9">
        <f t="shared" si="6"/>
        <v>4162.5380190995074</v>
      </c>
      <c r="DQ9" s="9">
        <f t="shared" si="36"/>
        <v>2376.2214232808519</v>
      </c>
      <c r="DR9" s="13">
        <f t="shared" si="37"/>
        <v>0.30901748127494261</v>
      </c>
      <c r="DS9" s="13">
        <f t="shared" si="38"/>
        <v>0.17640534592226015</v>
      </c>
      <c r="DT9" s="9">
        <f t="shared" si="70"/>
        <v>2745.4146981420663</v>
      </c>
      <c r="DV9" s="7" t="s">
        <v>403</v>
      </c>
      <c r="DW9" s="210">
        <f>DW7+DW8</f>
        <v>-2057.1251758337639</v>
      </c>
      <c r="DX9" s="28">
        <f>管理者入力シート!B10</f>
        <v>2035</v>
      </c>
      <c r="DY9" s="3" t="s">
        <v>21</v>
      </c>
      <c r="DZ9" s="9">
        <f>FB10*$AK$13</f>
        <v>977.9620479016894</v>
      </c>
      <c r="EA9" s="129">
        <f>IF(管理者入力シート!$B$14=1,DZ6*管理者用人口入力シート!AM$3,IF(管理者入力シート!$B$14=2,DZ6*管理者用人口入力シート!AM$7))</f>
        <v>856.97560745367241</v>
      </c>
      <c r="EB9" s="9">
        <f>IF(管理者入力シート!$B$14=1,EA6*管理者用人口入力シート!AN$3,IF(管理者入力シート!$B$14=2,EA6*管理者用人口入力シート!AN$7))</f>
        <v>527.63056870270111</v>
      </c>
      <c r="EC9" s="9">
        <f>IF(管理者入力シート!$B$14=1,EB6*管理者用人口入力シート!AO$3,IF(管理者入力シート!$B$14=2,EB6*管理者用人口入力シート!AO$7))</f>
        <v>515.62500703590683</v>
      </c>
      <c r="ED9" s="9">
        <f>IF(管理者入力シート!$B$14=1,EC6*管理者用人口入力シート!AP$3,IF(管理者入力シート!$B$14=2,EC6*管理者用人口入力シート!AP$7))</f>
        <v>526.57866697471241</v>
      </c>
      <c r="EE9" s="9">
        <f>IF(管理者入力シート!$B$14=1,ED6*管理者用人口入力シート!AQ$3,IF(管理者入力シート!$B$14=2,ED6*管理者用人口入力シート!AQ$7))+DX1</f>
        <v>1079.9751148584535</v>
      </c>
      <c r="EF9" s="9">
        <f>IF(管理者入力シート!$B$14=1,EE6*管理者用人口入力シート!AR$3,IF(管理者入力シート!$B$14=2,EE6*管理者用人口入力シート!AR$7))+DX1</f>
        <v>1405.1151905388831</v>
      </c>
      <c r="EG9" s="9">
        <f>IF(管理者入力シート!$B$14=1,EF6*管理者用人口入力シート!AS$3,IF(管理者入力シート!$B$14=2,EF6*管理者用人口入力シート!AS$7))+DX1</f>
        <v>1684.9869602861265</v>
      </c>
      <c r="EH9" s="9">
        <f>IF(管理者入力シート!$B$14=1,EG6*管理者用人口入力シート!AT$3,IF(管理者入力シート!$B$14=2,EG6*管理者用人口入力シート!AT$7))</f>
        <v>1357.397525410759</v>
      </c>
      <c r="EI9" s="9">
        <f>IF(管理者入力シート!$B$14=1,EH6*管理者用人口入力シート!AU$3,IF(管理者入力シート!$B$14=2,EH6*管理者用人口入力シート!AU$7))</f>
        <v>1053.93146671671</v>
      </c>
      <c r="EJ9" s="9">
        <f>IF(管理者入力シート!$B$14=1,EI6*管理者用人口入力シート!AV$3,IF(管理者入力シート!$B$14=2,EI6*管理者用人口入力シート!AV$7))</f>
        <v>868.26343684394442</v>
      </c>
      <c r="EK9" s="9">
        <f>IF(管理者入力シート!$B$14=1,EJ6*管理者用人口入力シート!AW$3,IF(管理者入力シート!$B$14=2,EJ6*管理者用人口入力シート!AW$7))</f>
        <v>1056.9929652048402</v>
      </c>
      <c r="EL9" s="9">
        <f>IF(管理者入力シート!$B$14=1,EK6*管理者用人口入力シート!AX$3,IF(管理者入力シート!$B$14=2,EK6*管理者用人口入力シート!AX$7))</f>
        <v>1136.2323813148005</v>
      </c>
      <c r="EM9" s="9">
        <f>IF(管理者入力シート!$B$14=1,EL6*管理者用人口入力シート!AY$3,IF(管理者入力シート!$B$14=2,EL6*管理者用人口入力シート!AY$7))</f>
        <v>916.71277296679477</v>
      </c>
      <c r="EN9" s="9">
        <f>IF(管理者入力シート!$B$14=1,EM6*管理者用人口入力シート!AZ$3,IF(管理者入力シート!$B$14=2,EM6*管理者用人口入力シート!AZ$7))</f>
        <v>869.60382285185983</v>
      </c>
      <c r="EO9" s="9">
        <f>IF(管理者入力シート!$B$14=1,EN6*管理者用人口入力シート!BA$3,IF(管理者入力シート!$B$14=2,EN6*管理者用人口入力シート!BA$7))</f>
        <v>810.59989094614446</v>
      </c>
      <c r="EP9" s="9">
        <f>IF(管理者入力シート!$B$14=1,EO6*管理者用人口入力シート!BB$3,IF(管理者入力シート!$B$14=2,EO6*管理者用人口入力シート!BB$7))</f>
        <v>758.39822274178982</v>
      </c>
      <c r="EQ9" s="9">
        <f>IF(管理者入力シート!$B$14=1,EP6*管理者用人口入力シート!BC$3,IF(管理者入力シート!$B$14=2,EP6*管理者用人口入力シート!BC$7))</f>
        <v>554.77436533520029</v>
      </c>
      <c r="ER9" s="9">
        <f>IF(管理者入力シート!$B$14=1,EQ6*管理者用人口入力シート!BD$3,IF(管理者入力シート!$B$14=2,EQ6*管理者用人口入力シート!BD$7))</f>
        <v>189.59520061433707</v>
      </c>
      <c r="ES9" s="9">
        <f>IF(管理者入力シート!$B$14=1,ER6*管理者用人口入力シート!BE$3,IF(管理者入力シート!$B$14=2,ER6*管理者用人口入力シート!BE$7))</f>
        <v>57.432288444374244</v>
      </c>
      <c r="ET9" s="9">
        <f>IF(管理者入力シート!$B$14=1,ES6*管理者用人口入力シート!BF$3,IF(管理者入力シート!$B$14=2,ES6*管理者用人口入力シート!BF$7))</f>
        <v>5.4214551990064006</v>
      </c>
      <c r="EU9" s="9">
        <f t="shared" si="71"/>
        <v>17210.204958342711</v>
      </c>
      <c r="EV9" s="9">
        <f t="shared" si="41"/>
        <v>830.76370569382414</v>
      </c>
      <c r="EW9" s="9">
        <f t="shared" si="42"/>
        <v>314.17722888826182</v>
      </c>
      <c r="EX9" s="9">
        <f t="shared" si="10"/>
        <v>4162.5380190995074</v>
      </c>
      <c r="EY9" s="9">
        <f t="shared" si="43"/>
        <v>2376.2214232808519</v>
      </c>
      <c r="EZ9" s="13">
        <f t="shared" si="44"/>
        <v>0.24186452335547007</v>
      </c>
      <c r="FA9" s="13">
        <f t="shared" si="45"/>
        <v>0.13807048951668469</v>
      </c>
      <c r="FB9" s="9">
        <f t="shared" si="72"/>
        <v>4696.6559326581755</v>
      </c>
    </row>
    <row r="10" spans="1:158" x14ac:dyDescent="0.15">
      <c r="A10" s="7" t="str">
        <f t="shared" si="11"/>
        <v>2015_2</v>
      </c>
      <c r="B10" s="29">
        <v>2015</v>
      </c>
      <c r="C10" s="4" t="s">
        <v>22</v>
      </c>
      <c r="D10" s="10">
        <v>755.58756499603362</v>
      </c>
      <c r="E10" s="10">
        <v>849.60209396547214</v>
      </c>
      <c r="F10" s="10">
        <v>857.57024491180255</v>
      </c>
      <c r="G10" s="10">
        <v>848.72356500727403</v>
      </c>
      <c r="H10" s="10">
        <v>597.73929683728466</v>
      </c>
      <c r="I10" s="10">
        <v>878.96492306270557</v>
      </c>
      <c r="J10" s="10">
        <v>1010.4753866099704</v>
      </c>
      <c r="K10" s="10">
        <v>1183.632835132277</v>
      </c>
      <c r="L10" s="10">
        <v>1251.5788927703559</v>
      </c>
      <c r="M10" s="10">
        <v>1085.5316249813363</v>
      </c>
      <c r="N10" s="10">
        <v>1213.7132257663943</v>
      </c>
      <c r="O10" s="10">
        <v>1247.7479826199917</v>
      </c>
      <c r="P10" s="10">
        <v>1458.2504513597294</v>
      </c>
      <c r="Q10" s="10">
        <v>1488.033998075407</v>
      </c>
      <c r="R10" s="10">
        <v>1165.4823965317062</v>
      </c>
      <c r="S10" s="10">
        <v>1123.3763441884348</v>
      </c>
      <c r="T10" s="10">
        <v>1095.1906664702942</v>
      </c>
      <c r="U10" s="10">
        <v>871.74347594296671</v>
      </c>
      <c r="V10" s="10">
        <v>413.80560907190977</v>
      </c>
      <c r="W10" s="10">
        <v>111.2110368206734</v>
      </c>
      <c r="X10" s="10">
        <v>19.038384877980885</v>
      </c>
      <c r="Y10" s="10">
        <f t="shared" si="68"/>
        <v>19527.000000000007</v>
      </c>
      <c r="Z10" s="10">
        <f t="shared" si="12"/>
        <v>1024.3034033263648</v>
      </c>
      <c r="AA10" s="10">
        <f t="shared" si="13"/>
        <v>512.77281096617583</v>
      </c>
      <c r="AB10" s="10">
        <f t="shared" si="0"/>
        <v>6287.8819119793743</v>
      </c>
      <c r="AC10" s="10">
        <f t="shared" si="14"/>
        <v>3634.3655173722595</v>
      </c>
      <c r="AD10" s="14">
        <f t="shared" si="15"/>
        <v>0.32200962318734944</v>
      </c>
      <c r="AE10" s="14">
        <f t="shared" si="16"/>
        <v>0.18612001420455054</v>
      </c>
      <c r="AF10" s="10">
        <f t="shared" si="17"/>
        <v>3670.8124416422379</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478.76309489528182</v>
      </c>
      <c r="BL10" s="10">
        <f>IF(管理者入力シート!$B$14=1,BK7*管理者用人口入力シート!AM$4,IF(管理者入力シート!$B$14=2,BK7*管理者用人口入力シート!AM$8))</f>
        <v>487.50454214474905</v>
      </c>
      <c r="BM10" s="10">
        <f>IF(管理者入力シート!$B$14=1,BL7*管理者用人口入力シート!AN$4,IF(管理者入力シート!$B$14=2,BL7*管理者用人口入力シート!AN$8))</f>
        <v>522.56441641470064</v>
      </c>
      <c r="BN10" s="10">
        <f>IF(管理者入力シート!$B$14=1,BM7*管理者用人口入力シート!AO$4,IF(管理者入力シート!$B$14=2,BM7*管理者用人口入力シート!AO$8))</f>
        <v>534.31667390283383</v>
      </c>
      <c r="BO10" s="10">
        <f>IF(管理者入力シート!$B$14=1,BN7*管理者用人口入力シート!AP$4,IF(管理者入力シート!$B$14=2,BN7*管理者用人口入力シート!AP$8))</f>
        <v>421.89696038897358</v>
      </c>
      <c r="BP10" s="10">
        <f>IF(管理者入力シート!$B$14=1,BO7*管理者用人口入力シート!AQ$4,IF(管理者入力シート!$B$14=2,BO7*管理者用人口入力シート!AQ$8))</f>
        <v>551.99050224226244</v>
      </c>
      <c r="BQ10" s="10">
        <f>IF(管理者入力シート!$B$14=1,BP7*管理者用人口入力シート!AR$4,IF(管理者入力シート!$B$14=2,BP7*管理者用人口入力シート!AR$8))</f>
        <v>539.16740004264864</v>
      </c>
      <c r="BR10" s="10">
        <f>IF(管理者入力シート!$B$14=1,BQ7*管理者用人口入力シート!AS$4,IF(管理者入力シート!$B$14=2,BQ7*管理者用人口入力シート!AS$8))</f>
        <v>560.08565537387619</v>
      </c>
      <c r="BS10" s="10">
        <f>IF(管理者入力シート!$B$14=1,BR7*管理者用人口入力シート!AT$4,IF(管理者入力シート!$B$14=2,BR7*管理者用人口入力シート!AT$8))</f>
        <v>539.35593145620589</v>
      </c>
      <c r="BT10" s="10">
        <f>IF(管理者入力シート!$B$14=1,BS7*管理者用人口入力シート!AU$4,IF(管理者入力シート!$B$14=2,BS7*管理者用人口入力シート!AU$8))</f>
        <v>711.19339481508212</v>
      </c>
      <c r="BU10" s="10">
        <f>IF(管理者入力シート!$B$14=1,BT7*管理者用人口入力シート!AV$4,IF(管理者入力シート!$B$14=2,BT7*管理者用人口入力シート!AV$8))</f>
        <v>841.75081027730005</v>
      </c>
      <c r="BV10" s="10">
        <f>IF(管理者入力シート!$B$14=1,BU7*管理者用人口入力シート!AW$4,IF(管理者入力シート!$B$14=2,BU7*管理者用人口入力シート!AW$8))</f>
        <v>1058.4884364387672</v>
      </c>
      <c r="BW10" s="10">
        <f>IF(管理者入力シート!$B$14=1,BV7*管理者用人口入力シート!AX$4,IF(管理者入力シート!$B$14=2,BV7*管理者用人口入力シート!AX$8))</f>
        <v>1121.6247141680701</v>
      </c>
      <c r="BX10" s="10">
        <f>IF(管理者入力シート!$B$14=1,BW7*管理者用人口入力シート!AY$4,IF(管理者入力シート!$B$14=2,BW7*管理者用人口入力シート!AY$8))</f>
        <v>980.32881812170012</v>
      </c>
      <c r="BY10" s="10">
        <f>IF(管理者入力シート!$B$14=1,BX7*管理者用人口入力シート!AZ$4,IF(管理者入力シート!$B$14=2,BX7*管理者用人口入力シート!AZ$8))</f>
        <v>1063.3562861520156</v>
      </c>
      <c r="BZ10" s="10">
        <f>IF(管理者入力シート!$B$14=1,BY7*管理者用人口入力シート!BA$4,IF(管理者入力シート!$B$14=2,BY7*管理者用人口入力シート!BA$8))</f>
        <v>1038.3900072680599</v>
      </c>
      <c r="CA10" s="10">
        <f>IF(管理者入力シート!$B$14=1,BZ7*管理者用人口入力シート!BB$4,IF(管理者入力シート!$B$14=2,BZ7*管理者用人口入力シート!BB$8))</f>
        <v>1094.6375472546029</v>
      </c>
      <c r="CB10" s="10">
        <f>IF(管理者入力シート!$B$14=1,CA7*管理者用人口入力シート!BC$4,IF(管理者入力シート!$B$14=2,CA7*管理者用人口入力シート!BC$8))</f>
        <v>925.22485586572884</v>
      </c>
      <c r="CC10" s="10">
        <f>IF(管理者入力シート!$B$14=1,CB7*管理者用人口入力シート!BD$4,IF(管理者入力シート!$B$14=2,CB7*管理者用人口入力シート!BD$8))</f>
        <v>478.53444839534745</v>
      </c>
      <c r="CD10" s="10">
        <f>IF(管理者入力シート!$B$14=1,CC7*管理者用人口入力シート!BE$4,IF(管理者入力シート!$B$14=2,CC7*管理者用人口入力シート!BE$8))</f>
        <v>195.77845450361272</v>
      </c>
      <c r="CE10" s="10">
        <f>IF(管理者入力シート!$B$14=1,CD7*管理者用人口入力シート!BF$4,IF(管理者入力シート!$B$14=2,CD7*管理者用人口入力シート!BF$8))</f>
        <v>52.909665975867178</v>
      </c>
      <c r="CF10" s="10">
        <f t="shared" si="2"/>
        <v>14197.862616097684</v>
      </c>
      <c r="CG10" s="10">
        <f t="shared" si="20"/>
        <v>606.0413751356698</v>
      </c>
      <c r="CH10" s="10">
        <f t="shared" si="21"/>
        <v>315.88910134644698</v>
      </c>
      <c r="CI10" s="10">
        <f t="shared" si="3"/>
        <v>5829.1600835369354</v>
      </c>
      <c r="CJ10" s="10">
        <f t="shared" si="22"/>
        <v>3785.4749792632192</v>
      </c>
      <c r="CK10" s="14">
        <f t="shared" si="23"/>
        <v>0.41056602963095118</v>
      </c>
      <c r="CL10" s="14">
        <f t="shared" si="24"/>
        <v>0.26662287709216237</v>
      </c>
      <c r="CM10" s="10">
        <f t="shared" si="25"/>
        <v>2073.1405180477609</v>
      </c>
      <c r="CO10" s="7" t="str">
        <f t="shared" si="26"/>
        <v>2035_2</v>
      </c>
      <c r="CP10" s="29">
        <f>CP9</f>
        <v>2035</v>
      </c>
      <c r="CQ10" s="4" t="s">
        <v>22</v>
      </c>
      <c r="CR10" s="10">
        <f>DT10*$AK$14+将来予測シート②!$H17</f>
        <v>481.20437596465933</v>
      </c>
      <c r="CS10" s="10">
        <f>IF(管理者入力シート!$B$14=1,CR7*管理者用人口入力シート!AM$4,IF(管理者入力シート!$B$14=2,CR7*管理者用人口入力シート!AM$8))+将来予測シート②!$H18</f>
        <v>489.29439580509808</v>
      </c>
      <c r="CT10" s="10">
        <f>IF(管理者入力シート!$B$14=1,CS7*管理者用人口入力シート!AN$4,IF(管理者入力シート!$B$14=2,CS7*管理者用人口入力シート!AN$8))+将来予測シート②!$H19</f>
        <v>524.45568393575843</v>
      </c>
      <c r="CU10" s="10">
        <f>IF(管理者入力シート!$B$14=1,CT7*管理者用人口入力シート!AO$4,IF(管理者入力シート!$B$14=2,CT7*管理者用人口入力シート!AO$8))+将来予測シート②!$H20</f>
        <v>535.18659566430063</v>
      </c>
      <c r="CV10" s="10">
        <f>IF(管理者入力シート!$B$14=1,CU7*管理者用人口入力シート!AP$4,IF(管理者入力シート!$B$14=2,CU7*管理者用人口入力シート!AP$8))+将来予測シート②!$H21</f>
        <v>422.51748848071026</v>
      </c>
      <c r="CW10" s="10">
        <f>IF(管理者入力シート!$B$14=1,CV7*管理者用人口入力シート!AQ$4,IF(管理者入力シート!$B$14=2,CV7*管理者用人口入力シート!AQ$8))+将来予測シート②!$H22</f>
        <v>553.99050224226244</v>
      </c>
      <c r="CX10" s="10">
        <f>IF(管理者入力シート!$B$14=1,CW7*管理者用人口入力シート!AR$4,IF(管理者入力シート!$B$14=2,CW7*管理者用人口入力シート!AR$8))+将来予測シート②!$H23</f>
        <v>541.04314204306979</v>
      </c>
      <c r="CY10" s="10">
        <f>IF(管理者入力シート!$B$14=1,CX7*管理者用人口入力シート!AS$4,IF(管理者入力シート!$B$14=2,CX7*管理者用人口入力シート!AS$8))+将来予測シート②!$H24</f>
        <v>561.83042226782004</v>
      </c>
      <c r="CZ10" s="10">
        <f>IF(管理者入力シート!$B$14=1,CY7*管理者用人口入力シート!AT$4,IF(管理者入力シート!$B$14=2,CY7*管理者用人口入力シート!AT$8))+将来予測シート②!$H25</f>
        <v>540.35593145620589</v>
      </c>
      <c r="DA10" s="10">
        <f>IF(管理者入力シート!$B$14=1,CZ7*管理者用人口入力シート!AU$4,IF(管理者入力シート!$B$14=2,CZ7*管理者用人口入力シート!AU$8))+将来予測シート②!$H26</f>
        <v>712.15042917492224</v>
      </c>
      <c r="DB10" s="10">
        <f>IF(管理者入力シート!$B$14=1,DA7*管理者用人口入力シート!AV$4,IF(管理者入力シート!$B$14=2,DA7*管理者用人口入力シート!AV$8))+将来予測シート②!$H27</f>
        <v>842.69724081622644</v>
      </c>
      <c r="DC10" s="10">
        <f>IF(管理者入力シート!$B$14=1,DB7*管理者用人口入力シート!AW$4,IF(管理者入力シート!$B$14=2,DB7*管理者用人口入力シート!AW$8))+将来予測シート②!$H28</f>
        <v>1058.4884364387672</v>
      </c>
      <c r="DD10" s="10">
        <f>IF(管理者入力シート!$B$14=1,DC7*管理者用人口入力シート!AX$4,IF(管理者入力シート!$B$14=2,DC7*管理者用人口入力シート!AX$8))+将来予測シート②!$H29</f>
        <v>1121.6247141680701</v>
      </c>
      <c r="DE10" s="10">
        <f>IF(管理者入力シート!$B$14=1,DD7*管理者用人口入力シート!AY$4,IF(管理者入力シート!$B$14=2,DD7*管理者用人口入力シート!AY$8))</f>
        <v>980.32881812170012</v>
      </c>
      <c r="DF10" s="10">
        <f>IF(管理者入力シート!$B$14=1,DE7*管理者用人口入力シート!AZ$4,IF(管理者入力シート!$B$14=2,DE7*管理者用人口入力シート!AZ$8))</f>
        <v>1063.3562861520156</v>
      </c>
      <c r="DG10" s="10">
        <f>IF(管理者入力シート!$B$14=1,DF7*管理者用人口入力シート!BA$4,IF(管理者入力シート!$B$14=2,DF7*管理者用人口入力シート!BA$8))</f>
        <v>1038.3900072680599</v>
      </c>
      <c r="DH10" s="10">
        <f>IF(管理者入力シート!$B$14=1,DG7*管理者用人口入力シート!BB$4,IF(管理者入力シート!$B$14=2,DG7*管理者用人口入力シート!BB$8))</f>
        <v>1094.6375472546029</v>
      </c>
      <c r="DI10" s="10">
        <f>IF(管理者入力シート!$B$14=1,DH7*管理者用人口入力シート!BC$4,IF(管理者入力シート!$B$14=2,DH7*管理者用人口入力シート!BC$8))</f>
        <v>925.22485586572884</v>
      </c>
      <c r="DJ10" s="10">
        <f>IF(管理者入力シート!$B$14=1,DI7*管理者用人口入力シート!BD$4,IF(管理者入力シート!$B$14=2,DI7*管理者用人口入力シート!BD$8))</f>
        <v>478.53444839534745</v>
      </c>
      <c r="DK10" s="10">
        <f>IF(管理者入力シート!$B$14=1,DJ7*管理者用人口入力シート!BE$4,IF(管理者入力シート!$B$14=2,DJ7*管理者用人口入力シート!BE$8))</f>
        <v>195.77845450361272</v>
      </c>
      <c r="DL10" s="10">
        <f>IF(管理者入力シート!$B$14=1,DK7*管理者用人口入力シート!BF$4,IF(管理者入力シート!$B$14=2,DK7*管理者用人口入力シート!BF$8))</f>
        <v>52.909665975867178</v>
      </c>
      <c r="DM10" s="10">
        <f t="shared" si="69"/>
        <v>14213.999441994803</v>
      </c>
      <c r="DN10" s="10">
        <f t="shared" si="34"/>
        <v>608.25004784451392</v>
      </c>
      <c r="DO10" s="10">
        <f t="shared" si="35"/>
        <v>316.81959270716345</v>
      </c>
      <c r="DP10" s="10">
        <f t="shared" si="6"/>
        <v>5829.1600835369354</v>
      </c>
      <c r="DQ10" s="10">
        <f t="shared" si="36"/>
        <v>3785.4749792632192</v>
      </c>
      <c r="DR10" s="14">
        <f t="shared" si="37"/>
        <v>0.41009992348211788</v>
      </c>
      <c r="DS10" s="14">
        <f t="shared" si="38"/>
        <v>0.26632018628614512</v>
      </c>
      <c r="DT10" s="10">
        <f t="shared" si="70"/>
        <v>2079.3815550338622</v>
      </c>
      <c r="DV10" s="62" t="s">
        <v>405</v>
      </c>
      <c r="DW10" s="210">
        <f>((SUM(BL12:BL13)*3/5+SUM(BM12:BM13)+SUM(BN12:BN13)*1/5)-(SUM(E12:E13)*3/5+SUM(F12:F13)+SUM(G12:G13)*1/5))/4</f>
        <v>-307.08183749259592</v>
      </c>
      <c r="DX10" s="29">
        <f>DX9</f>
        <v>2035</v>
      </c>
      <c r="DY10" s="4" t="s">
        <v>22</v>
      </c>
      <c r="DZ10" s="10">
        <f>FB10*$AK$14</f>
        <v>933.46876768608138</v>
      </c>
      <c r="EA10" s="10">
        <f>IF(管理者入力シート!$B$14=1,DZ7*管理者用人口入力シート!AM$4,IF(管理者入力シート!$B$14=2,DZ7*管理者用人口入力シート!AM$8))</f>
        <v>851.7026998740655</v>
      </c>
      <c r="EB10" s="10">
        <f>IF(管理者入力シート!$B$14=1,EA7*管理者用人口入力シート!AN$4,IF(管理者入力シート!$B$14=2,EA7*管理者用人口入力シート!AN$8))</f>
        <v>522.56441641470064</v>
      </c>
      <c r="EC10" s="10">
        <f>IF(管理者入力シート!$B$14=1,EB7*管理者用人口入力シート!AO$4,IF(管理者入力シート!$B$14=2,EB7*管理者用人口入力シート!AO$8))</f>
        <v>534.31667390283383</v>
      </c>
      <c r="ED10" s="10">
        <f>IF(管理者入力シート!$B$14=1,EC7*管理者用人口入力シート!AP$4,IF(管理者入力シート!$B$14=2,EC7*管理者用人口入力シート!AP$8))</f>
        <v>421.89696038897358</v>
      </c>
      <c r="EE10" s="10">
        <f>IF(管理者入力シート!$B$14=1,ED7*管理者用人口入力シート!AQ$4,IF(管理者入力シート!$B$14=2,ED7*管理者用人口入力シート!AQ$8))+DX1</f>
        <v>894.99050224226244</v>
      </c>
      <c r="EF10" s="10">
        <f>IF(管理者入力シート!$B$14=1,EE7*管理者用人口入力シート!AR$4,IF(管理者入力シート!$B$14=2,EE7*管理者用人口入力シート!AR$8))+DX1</f>
        <v>1203.8571531148748</v>
      </c>
      <c r="EG10" s="10">
        <f>IF(管理者入力シート!$B$14=1,EF7*管理者用人口入力シート!AS$4,IF(管理者入力シート!$B$14=2,EF7*管理者用人口入力シート!AS$8))+DX1</f>
        <v>1521.3629427853375</v>
      </c>
      <c r="EH10" s="10">
        <f>IF(管理者入力シート!$B$14=1,EG7*管理者用人口入力シート!AT$4,IF(管理者入力シート!$B$14=2,EG7*管理者用人口入力シート!AT$8))</f>
        <v>1173.3573834327481</v>
      </c>
      <c r="EI10" s="10">
        <f>IF(管理者入力シート!$B$14=1,EH7*管理者用人口入力シート!AU$4,IF(管理者入力シート!$B$14=2,EH7*管理者用人口入力シート!AU$8))</f>
        <v>1025.5490423213832</v>
      </c>
      <c r="EJ10" s="10">
        <f>IF(管理者入力シート!$B$14=1,EI7*管理者用人口入力シート!AV$4,IF(管理者入力シート!$B$14=2,EI7*管理者用人口入力シート!AV$8))</f>
        <v>841.75081027730005</v>
      </c>
      <c r="EK10" s="10">
        <f>IF(管理者入力シート!$B$14=1,EJ7*管理者用人口入力シート!AW$4,IF(管理者入力シート!$B$14=2,EJ7*管理者用人口入力シート!AW$8))</f>
        <v>1058.4884364387672</v>
      </c>
      <c r="EL10" s="10">
        <f>IF(管理者入力シート!$B$14=1,EK7*管理者用人口入力シート!AX$4,IF(管理者入力シート!$B$14=2,EK7*管理者用人口入力シート!AX$8))</f>
        <v>1121.6247141680701</v>
      </c>
      <c r="EM10" s="10">
        <f>IF(管理者入力シート!$B$14=1,EL7*管理者用人口入力シート!AY$4,IF(管理者入力シート!$B$14=2,EL7*管理者用人口入力シート!AY$8))</f>
        <v>980.32881812170012</v>
      </c>
      <c r="EN10" s="10">
        <f>IF(管理者入力シート!$B$14=1,EM7*管理者用人口入力シート!AZ$4,IF(管理者入力シート!$B$14=2,EM7*管理者用人口入力シート!AZ$8))</f>
        <v>1063.3562861520156</v>
      </c>
      <c r="EO10" s="10">
        <f>IF(管理者入力シート!$B$14=1,EN7*管理者用人口入力シート!BA$4,IF(管理者入力シート!$B$14=2,EN7*管理者用人口入力シート!BA$8))</f>
        <v>1038.3900072680599</v>
      </c>
      <c r="EP10" s="10">
        <f>IF(管理者入力シート!$B$14=1,EO7*管理者用人口入力シート!BB$4,IF(管理者入力シート!$B$14=2,EO7*管理者用人口入力シート!BB$8))</f>
        <v>1094.6375472546029</v>
      </c>
      <c r="EQ10" s="10">
        <f>IF(管理者入力シート!$B$14=1,EP7*管理者用人口入力シート!BC$4,IF(管理者入力シート!$B$14=2,EP7*管理者用人口入力シート!BC$8))</f>
        <v>925.22485586572884</v>
      </c>
      <c r="ER10" s="10">
        <f>IF(管理者入力シート!$B$14=1,EQ7*管理者用人口入力シート!BD$4,IF(管理者入力シート!$B$14=2,EQ7*管理者用人口入力シート!BD$8))</f>
        <v>478.53444839534745</v>
      </c>
      <c r="ES10" s="10">
        <f>IF(管理者入力シート!$B$14=1,ER7*管理者用人口入力シート!BE$4,IF(管理者入力シート!$B$14=2,ER7*管理者用人口入力シート!BE$8))</f>
        <v>195.77845450361272</v>
      </c>
      <c r="ET10" s="10">
        <f>IF(管理者入力シート!$B$14=1,ES7*管理者用人口入力シート!BF$4,IF(管理者入力シート!$B$14=2,ES7*管理者用人口入力シート!BF$8))</f>
        <v>52.909665975867178</v>
      </c>
      <c r="EU10" s="10">
        <f t="shared" si="71"/>
        <v>17934.090586584338</v>
      </c>
      <c r="EV10" s="10">
        <f t="shared" si="41"/>
        <v>824.56026977325973</v>
      </c>
      <c r="EW10" s="10">
        <f t="shared" si="42"/>
        <v>315.88910134644698</v>
      </c>
      <c r="EX10" s="10">
        <f t="shared" si="10"/>
        <v>5829.1600835369354</v>
      </c>
      <c r="EY10" s="10">
        <f t="shared" si="43"/>
        <v>3785.4749792632192</v>
      </c>
      <c r="EZ10" s="14">
        <f t="shared" si="44"/>
        <v>0.32503237648958122</v>
      </c>
      <c r="FA10" s="14">
        <f t="shared" si="45"/>
        <v>0.21107705244306937</v>
      </c>
      <c r="FB10" s="10">
        <f t="shared" si="72"/>
        <v>4042.1075585314484</v>
      </c>
    </row>
    <row r="11" spans="1:158" x14ac:dyDescent="0.15">
      <c r="A11" s="7" t="str">
        <f t="shared" si="11"/>
        <v>2015_3</v>
      </c>
      <c r="B11" s="30">
        <v>2015</v>
      </c>
      <c r="C11" s="5" t="s">
        <v>23</v>
      </c>
      <c r="D11" s="11">
        <v>1673.9914355350261</v>
      </c>
      <c r="E11" s="11">
        <v>1760.7298051436073</v>
      </c>
      <c r="F11" s="11">
        <v>1789.7514384290848</v>
      </c>
      <c r="G11" s="11">
        <v>1690.6090448413497</v>
      </c>
      <c r="H11" s="11">
        <v>1313.1461202492646</v>
      </c>
      <c r="I11" s="11">
        <v>1786.3157681512675</v>
      </c>
      <c r="J11" s="11">
        <v>2067.0318750435563</v>
      </c>
      <c r="K11" s="11">
        <v>2319.085483618715</v>
      </c>
      <c r="L11" s="11">
        <v>2489.7440325618545</v>
      </c>
      <c r="M11" s="11">
        <v>2124.911518923137</v>
      </c>
      <c r="N11" s="11">
        <v>2285.706049127406</v>
      </c>
      <c r="O11" s="11">
        <v>2406.2966650374019</v>
      </c>
      <c r="P11" s="11">
        <v>2774.7808572617669</v>
      </c>
      <c r="Q11" s="11">
        <v>2878.0223943419651</v>
      </c>
      <c r="R11" s="11">
        <v>2043.1060837667169</v>
      </c>
      <c r="S11" s="11">
        <v>1949.9268610331976</v>
      </c>
      <c r="T11" s="11">
        <v>1805.9723552547493</v>
      </c>
      <c r="U11" s="11">
        <v>1237.2078692625755</v>
      </c>
      <c r="V11" s="11">
        <v>535.29884414443927</v>
      </c>
      <c r="W11" s="11">
        <v>133.30379303795601</v>
      </c>
      <c r="X11" s="11">
        <v>24.061705234961757</v>
      </c>
      <c r="Y11" s="11">
        <f t="shared" si="68"/>
        <v>37089</v>
      </c>
      <c r="Z11" s="11">
        <f t="shared" si="12"/>
        <v>2130.2887461436158</v>
      </c>
      <c r="AA11" s="11">
        <f t="shared" si="13"/>
        <v>1054.022384339904</v>
      </c>
      <c r="AB11" s="11">
        <f t="shared" si="0"/>
        <v>10606.899906076562</v>
      </c>
      <c r="AC11" s="11">
        <f t="shared" si="14"/>
        <v>5685.7714279678794</v>
      </c>
      <c r="AD11" s="15">
        <f t="shared" si="15"/>
        <v>0.28598506042429189</v>
      </c>
      <c r="AE11" s="15">
        <f t="shared" si="16"/>
        <v>0.15330074760624118</v>
      </c>
      <c r="AF11" s="11">
        <f t="shared" si="17"/>
        <v>7485.5792470628039</v>
      </c>
      <c r="BH11" s="7" t="str">
        <f t="shared" si="19"/>
        <v>2035_3</v>
      </c>
      <c r="BI11" s="30">
        <f>BI10</f>
        <v>2035</v>
      </c>
      <c r="BJ11" s="5" t="s">
        <v>23</v>
      </c>
      <c r="BK11" s="16">
        <f>BK9+BK10</f>
        <v>980.34617185688512</v>
      </c>
      <c r="BL11" s="16">
        <f t="shared" ref="BL11" si="117">BL9+BL10</f>
        <v>978.02723416239155</v>
      </c>
      <c r="BM11" s="16">
        <f t="shared" ref="BM11" si="118">BM9+BM10</f>
        <v>1050.1949851174018</v>
      </c>
      <c r="BN11" s="16">
        <f t="shared" ref="BN11" si="119">BN9+BN10</f>
        <v>1049.9416809387408</v>
      </c>
      <c r="BO11" s="16">
        <f t="shared" ref="BO11" si="120">BO9+BO10</f>
        <v>948.47562736368604</v>
      </c>
      <c r="BP11" s="16">
        <f t="shared" ref="BP11" si="121">BP9+BP10</f>
        <v>1288.9656171007159</v>
      </c>
      <c r="BQ11" s="16">
        <f t="shared" ref="BQ11" si="122">BQ9+BQ10</f>
        <v>1281.2441420275632</v>
      </c>
      <c r="BR11" s="16">
        <f t="shared" ref="BR11" si="123">BR9+BR10</f>
        <v>1293.6139426614636</v>
      </c>
      <c r="BS11" s="16">
        <f t="shared" ref="BS11" si="124">BS9+BS10</f>
        <v>1270.6428092817901</v>
      </c>
      <c r="BT11" s="16">
        <f t="shared" ref="BT11" si="125">BT9+BT10</f>
        <v>1438.3803636333398</v>
      </c>
      <c r="BU11" s="16">
        <f t="shared" ref="BU11" si="126">BU9+BU10</f>
        <v>1710.0142471212444</v>
      </c>
      <c r="BV11" s="16">
        <f t="shared" ref="BV11" si="127">BV9+BV10</f>
        <v>2115.4814016436076</v>
      </c>
      <c r="BW11" s="16">
        <f t="shared" ref="BW11" si="128">BW9+BW10</f>
        <v>2257.8570954828706</v>
      </c>
      <c r="BX11" s="16">
        <f t="shared" ref="BX11" si="129">BX9+BX10</f>
        <v>1897.0415910884949</v>
      </c>
      <c r="BY11" s="16">
        <f t="shared" ref="BY11" si="130">BY9+BY10</f>
        <v>1932.9601090038755</v>
      </c>
      <c r="BZ11" s="16">
        <f t="shared" ref="BZ11" si="131">BZ9+BZ10</f>
        <v>1848.9898982142045</v>
      </c>
      <c r="CA11" s="16">
        <f t="shared" ref="CA11" si="132">CA9+CA10</f>
        <v>1853.0357699963927</v>
      </c>
      <c r="CB11" s="16">
        <f t="shared" ref="CB11" si="133">CB9+CB10</f>
        <v>1479.9992212009292</v>
      </c>
      <c r="CC11" s="16">
        <f t="shared" ref="CC11" si="134">CC9+CC10</f>
        <v>668.1296490096845</v>
      </c>
      <c r="CD11" s="16">
        <f t="shared" ref="CD11" si="135">CD9+CD10</f>
        <v>253.21074294798697</v>
      </c>
      <c r="CE11" s="16">
        <f t="shared" ref="CE11" si="136">CE9+CE10</f>
        <v>58.33112117487358</v>
      </c>
      <c r="CF11" s="11">
        <f t="shared" si="2"/>
        <v>27654.883421028138</v>
      </c>
      <c r="CG11" s="11">
        <f t="shared" si="20"/>
        <v>1216.9333315678759</v>
      </c>
      <c r="CH11" s="11">
        <f t="shared" si="21"/>
        <v>630.06633023470886</v>
      </c>
      <c r="CI11" s="11">
        <f t="shared" si="3"/>
        <v>9991.6981026364429</v>
      </c>
      <c r="CJ11" s="11">
        <f t="shared" si="22"/>
        <v>6161.6964025440711</v>
      </c>
      <c r="CK11" s="15">
        <f t="shared" si="23"/>
        <v>0.36129959221014052</v>
      </c>
      <c r="CL11" s="15">
        <f t="shared" si="24"/>
        <v>0.22280681168443686</v>
      </c>
      <c r="CM11" s="11">
        <f t="shared" si="25"/>
        <v>4812.2993291534294</v>
      </c>
      <c r="CO11" s="7" t="str">
        <f t="shared" si="26"/>
        <v>2035_3</v>
      </c>
      <c r="CP11" s="30">
        <f>CP10</f>
        <v>2035</v>
      </c>
      <c r="CQ11" s="5" t="s">
        <v>23</v>
      </c>
      <c r="CR11" s="16">
        <f>CR9+CR10</f>
        <v>985.29743187253666</v>
      </c>
      <c r="CS11" s="16">
        <f t="shared" ref="CS11" si="137">CS9+CS10</f>
        <v>981.5747860585866</v>
      </c>
      <c r="CT11" s="16">
        <f t="shared" ref="CT11" si="138">CT9+CT10</f>
        <v>1053.9452186634082</v>
      </c>
      <c r="CU11" s="16">
        <f t="shared" ref="CU11" si="139">CU9+CU10</f>
        <v>1051.6430319989322</v>
      </c>
      <c r="CV11" s="16">
        <f t="shared" ref="CV11" si="140">CV9+CV10</f>
        <v>949.77342978070192</v>
      </c>
      <c r="CW11" s="16">
        <f t="shared" ref="CW11" si="141">CW9+CW10</f>
        <v>1292.9656171007159</v>
      </c>
      <c r="CX11" s="16">
        <f t="shared" ref="CX11" si="142">CX9+CX10</f>
        <v>1284.9859974306312</v>
      </c>
      <c r="CY11" s="16">
        <f t="shared" ref="CY11" si="143">CY9+CY10</f>
        <v>1297.07120886388</v>
      </c>
      <c r="CZ11" s="16">
        <f t="shared" ref="CZ11" si="144">CZ9+CZ10</f>
        <v>1271.6428092817901</v>
      </c>
      <c r="DA11" s="16">
        <f t="shared" ref="DA11" si="145">DA9+DA10</f>
        <v>1439.3373979931798</v>
      </c>
      <c r="DB11" s="16">
        <f t="shared" ref="DB11" si="146">DB9+DB10</f>
        <v>1710.9606776601709</v>
      </c>
      <c r="DC11" s="16">
        <f t="shared" ref="DC11" si="147">DC9+DC10</f>
        <v>2115.4814016436076</v>
      </c>
      <c r="DD11" s="16">
        <f t="shared" ref="DD11" si="148">DD9+DD10</f>
        <v>2257.8570954828706</v>
      </c>
      <c r="DE11" s="16">
        <f t="shared" ref="DE11" si="149">DE9+DE10</f>
        <v>1897.0415910884949</v>
      </c>
      <c r="DF11" s="16">
        <f t="shared" ref="DF11" si="150">DF9+DF10</f>
        <v>1932.9601090038755</v>
      </c>
      <c r="DG11" s="16">
        <f t="shared" ref="DG11" si="151">DG9+DG10</f>
        <v>1848.9898982142045</v>
      </c>
      <c r="DH11" s="16">
        <f t="shared" ref="DH11" si="152">DH9+DH10</f>
        <v>1853.0357699963927</v>
      </c>
      <c r="DI11" s="16">
        <f t="shared" ref="DI11" si="153">DI9+DI10</f>
        <v>1479.9992212009292</v>
      </c>
      <c r="DJ11" s="16">
        <f t="shared" ref="DJ11" si="154">DJ9+DJ10</f>
        <v>668.1296490096845</v>
      </c>
      <c r="DK11" s="16">
        <f t="shared" ref="DK11" si="155">DK9+DK10</f>
        <v>253.21074294798697</v>
      </c>
      <c r="DL11" s="16">
        <f t="shared" ref="DL11" si="156">DL9+DL10</f>
        <v>58.33112117487358</v>
      </c>
      <c r="DM11" s="11">
        <f t="shared" si="69"/>
        <v>27684.234206467449</v>
      </c>
      <c r="DN11" s="11">
        <f t="shared" si="34"/>
        <v>1221.3120028331969</v>
      </c>
      <c r="DO11" s="11">
        <f t="shared" si="35"/>
        <v>631.90669386514969</v>
      </c>
      <c r="DP11" s="11">
        <f t="shared" si="6"/>
        <v>9991.6981026364429</v>
      </c>
      <c r="DQ11" s="11">
        <f t="shared" si="36"/>
        <v>6161.6964025440711</v>
      </c>
      <c r="DR11" s="15">
        <f t="shared" si="37"/>
        <v>0.36091654290015485</v>
      </c>
      <c r="DS11" s="15">
        <f t="shared" si="38"/>
        <v>0.22257059222192996</v>
      </c>
      <c r="DT11" s="11">
        <f t="shared" si="70"/>
        <v>4824.7962531759295</v>
      </c>
      <c r="DW11" s="211"/>
      <c r="DX11" s="30">
        <f>DX10</f>
        <v>2035</v>
      </c>
      <c r="DY11" s="5" t="s">
        <v>23</v>
      </c>
      <c r="DZ11" s="16">
        <f>DZ9+DZ10</f>
        <v>1911.4308155877707</v>
      </c>
      <c r="EA11" s="16">
        <f t="shared" ref="EA11" si="157">EA9+EA10</f>
        <v>1708.6783073277379</v>
      </c>
      <c r="EB11" s="16">
        <f t="shared" ref="EB11" si="158">EB9+EB10</f>
        <v>1050.1949851174018</v>
      </c>
      <c r="EC11" s="16">
        <f t="shared" ref="EC11" si="159">EC9+EC10</f>
        <v>1049.9416809387408</v>
      </c>
      <c r="ED11" s="16">
        <f t="shared" ref="ED11" si="160">ED9+ED10</f>
        <v>948.47562736368604</v>
      </c>
      <c r="EE11" s="16">
        <f t="shared" ref="EE11" si="161">EE9+EE10</f>
        <v>1974.9656171007159</v>
      </c>
      <c r="EF11" s="16">
        <f t="shared" ref="EF11" si="162">EF9+EF10</f>
        <v>2608.9723436537579</v>
      </c>
      <c r="EG11" s="16">
        <f t="shared" ref="EG11" si="163">EG9+EG10</f>
        <v>3206.3499030714638</v>
      </c>
      <c r="EH11" s="16">
        <f t="shared" ref="EH11" si="164">EH9+EH10</f>
        <v>2530.7549088435071</v>
      </c>
      <c r="EI11" s="16">
        <f t="shared" ref="EI11" si="165">EI9+EI10</f>
        <v>2079.4805090380933</v>
      </c>
      <c r="EJ11" s="16">
        <f t="shared" ref="EJ11" si="166">EJ9+EJ10</f>
        <v>1710.0142471212444</v>
      </c>
      <c r="EK11" s="16">
        <f t="shared" ref="EK11" si="167">EK9+EK10</f>
        <v>2115.4814016436076</v>
      </c>
      <c r="EL11" s="16">
        <f t="shared" ref="EL11" si="168">EL9+EL10</f>
        <v>2257.8570954828706</v>
      </c>
      <c r="EM11" s="16">
        <f t="shared" ref="EM11" si="169">EM9+EM10</f>
        <v>1897.0415910884949</v>
      </c>
      <c r="EN11" s="16">
        <f t="shared" ref="EN11" si="170">EN9+EN10</f>
        <v>1932.9601090038755</v>
      </c>
      <c r="EO11" s="16">
        <f t="shared" ref="EO11" si="171">EO9+EO10</f>
        <v>1848.9898982142045</v>
      </c>
      <c r="EP11" s="16">
        <f t="shared" ref="EP11" si="172">EP9+EP10</f>
        <v>1853.0357699963927</v>
      </c>
      <c r="EQ11" s="16">
        <f t="shared" ref="EQ11" si="173">EQ9+EQ10</f>
        <v>1479.9992212009292</v>
      </c>
      <c r="ER11" s="16">
        <f t="shared" ref="ER11" si="174">ER9+ER10</f>
        <v>668.1296490096845</v>
      </c>
      <c r="ES11" s="16">
        <f t="shared" ref="ES11" si="175">ES9+ES10</f>
        <v>253.21074294798697</v>
      </c>
      <c r="ET11" s="16">
        <f t="shared" ref="ET11" si="176">ET9+ET10</f>
        <v>58.33112117487358</v>
      </c>
      <c r="EU11" s="11">
        <f t="shared" si="71"/>
        <v>35144.295544927045</v>
      </c>
      <c r="EV11" s="11">
        <f t="shared" si="41"/>
        <v>1655.3239754670835</v>
      </c>
      <c r="EW11" s="11">
        <f t="shared" si="42"/>
        <v>630.06633023470886</v>
      </c>
      <c r="EX11" s="11">
        <f t="shared" si="10"/>
        <v>9991.6981026364429</v>
      </c>
      <c r="EY11" s="11">
        <f t="shared" si="43"/>
        <v>6161.6964025440711</v>
      </c>
      <c r="EZ11" s="15">
        <f t="shared" si="44"/>
        <v>0.28430497603411797</v>
      </c>
      <c r="FA11" s="15">
        <f t="shared" si="45"/>
        <v>0.17532564835926809</v>
      </c>
      <c r="FB11" s="11">
        <f t="shared" si="72"/>
        <v>8738.7634911896239</v>
      </c>
    </row>
    <row r="12" spans="1:158" x14ac:dyDescent="0.15">
      <c r="A12" s="7" t="str">
        <f t="shared" si="11"/>
        <v>2020_1</v>
      </c>
      <c r="B12" s="28">
        <v>2020</v>
      </c>
      <c r="C12" s="3" t="s">
        <v>21</v>
      </c>
      <c r="D12" s="9">
        <v>721.99245805859459</v>
      </c>
      <c r="E12" s="9">
        <v>821.06583617120486</v>
      </c>
      <c r="F12" s="9">
        <v>855.43564427521449</v>
      </c>
      <c r="G12" s="9">
        <v>767.53931004873425</v>
      </c>
      <c r="H12" s="9">
        <v>673.46586556608452</v>
      </c>
      <c r="I12" s="9">
        <v>897.23678430620055</v>
      </c>
      <c r="J12" s="9">
        <v>831.83952454946484</v>
      </c>
      <c r="K12" s="9">
        <v>945.0886647188986</v>
      </c>
      <c r="L12" s="9">
        <v>1086.8392203913552</v>
      </c>
      <c r="M12" s="9">
        <v>1240.1232063078401</v>
      </c>
      <c r="N12" s="9">
        <v>1019.3849858311542</v>
      </c>
      <c r="O12" s="9">
        <v>1085.7022428595055</v>
      </c>
      <c r="P12" s="9">
        <v>1094.882370165845</v>
      </c>
      <c r="Q12" s="9">
        <v>1229.6537598762768</v>
      </c>
      <c r="R12" s="9">
        <v>1279.0314728178521</v>
      </c>
      <c r="S12" s="9">
        <v>783.65464266499112</v>
      </c>
      <c r="T12" s="9">
        <v>676.51161211220142</v>
      </c>
      <c r="U12" s="9">
        <v>451.7378689150728</v>
      </c>
      <c r="V12" s="9">
        <v>175.27079440871475</v>
      </c>
      <c r="W12" s="9">
        <v>37.525717936777809</v>
      </c>
      <c r="X12" s="9">
        <v>1.0180180180180181</v>
      </c>
      <c r="Y12" s="9">
        <f t="shared" ref="Y12:Y14" si="177">SUM(D12:X12)</f>
        <v>16675.000000000004</v>
      </c>
      <c r="Z12" s="9">
        <f>E12*3/5+F12*3/5</f>
        <v>1005.9008882678515</v>
      </c>
      <c r="AA12" s="9">
        <f>F12*2/5+G12*1/5</f>
        <v>495.6821197198326</v>
      </c>
      <c r="AB12" s="9">
        <f t="shared" ref="AB12:AB14" si="178">SUM(Q12:X12)</f>
        <v>4634.4038867499048</v>
      </c>
      <c r="AC12" s="9">
        <f>SUM(S12:X12)</f>
        <v>2125.7186540557759</v>
      </c>
      <c r="AD12" s="13">
        <f>AB12/Y12</f>
        <v>0.27792527056970939</v>
      </c>
      <c r="AE12" s="13">
        <f>AC12/Y12</f>
        <v>0.12747937955356975</v>
      </c>
      <c r="AF12" s="9">
        <f>SUM(H12:K12)</f>
        <v>3347.6308391406487</v>
      </c>
      <c r="AK12" s="61">
        <f>管理者入力シート!B5</f>
        <v>2020</v>
      </c>
      <c r="AL12" s="62"/>
      <c r="BH12" s="7" t="str">
        <f t="shared" si="19"/>
        <v>2040_1</v>
      </c>
      <c r="BI12" s="28">
        <f>管理者入力シート!B11</f>
        <v>2040</v>
      </c>
      <c r="BJ12" s="3" t="s">
        <v>21</v>
      </c>
      <c r="BK12" s="9">
        <f>CM13*$AK$13</f>
        <v>452.67238338244061</v>
      </c>
      <c r="BL12" s="9">
        <f>IF(管理者入力シート!$B$14=1,BK9*管理者用人口入力シート!AM$3,IF(管理者入力シート!$B$14=2,BK9*管理者用人口入力シート!AM$7))</f>
        <v>454.98616920723896</v>
      </c>
      <c r="BM12" s="9">
        <f>IF(管理者入力シート!$B$14=1,BL9*管理者用人口入力シート!AN$3,IF(管理者入力シート!$B$14=2,BL9*管理者用人口入力シート!AN$7))</f>
        <v>464.49363758395134</v>
      </c>
      <c r="BN12" s="9">
        <f>IF(管理者入力シート!$B$14=1,BM9*管理者用人口入力シート!AO$3,IF(管理者入力シート!$B$14=2,BM9*管理者用人口入力シート!AO$7))</f>
        <v>438.68751372220476</v>
      </c>
      <c r="BO12" s="9">
        <f>IF(管理者入力シート!$B$14=1,BN9*管理者用人口入力シート!AP$3,IF(管理者入力シート!$B$14=2,BN9*管理者用人口入力シート!AP$7))</f>
        <v>420.02318089222143</v>
      </c>
      <c r="BP12" s="9">
        <f>IF(管理者入力シート!$B$14=1,BO9*管理者用人口入力シート!AQ$3,IF(管理者入力シート!$B$14=2,BO9*管理者用人口入力シート!AQ$7))</f>
        <v>669.82928260024187</v>
      </c>
      <c r="BQ12" s="9">
        <f>IF(管理者入力シート!$B$14=1,BP9*管理者用人口入力シート!AR$3,IF(管理者入力シート!$B$14=2,BP9*管理者用人口入力シート!AR$7))</f>
        <v>687.63956962735392</v>
      </c>
      <c r="BR12" s="9">
        <f>IF(管理者入力シート!$B$14=1,BQ9*管理者用人口入力シート!AS$3,IF(管理者入力シート!$B$14=2,BQ9*管理者用人口入力シート!AS$7))</f>
        <v>680.99071882777571</v>
      </c>
      <c r="BS12" s="9">
        <f>IF(管理者入力シート!$B$14=1,BR9*管理者用人口入力シート!AT$3,IF(管理者入力シート!$B$14=2,BR9*管理者用人口入力シート!AT$7))</f>
        <v>698.2278502695433</v>
      </c>
      <c r="BT12" s="9">
        <f>IF(管理者入力シート!$B$14=1,BS9*管理者用人口入力シート!AU$3,IF(管理者入力シート!$B$14=2,BS9*管理者用人口入力シート!AU$7))</f>
        <v>731.84926740848061</v>
      </c>
      <c r="BU12" s="9">
        <f>IF(管理者入力シート!$B$14=1,BT9*管理者用人口入力シート!AV$3,IF(管理者入力シート!$B$14=2,BT9*管理者用人口入力シート!AV$7))</f>
        <v>701.31137535990354</v>
      </c>
      <c r="BV12" s="9">
        <f>IF(管理者入力シート!$B$14=1,BU9*管理者用人口入力シート!AW$3,IF(管理者入力シート!$B$14=2,BU9*管理者用人口入力シート!AW$7))</f>
        <v>874.90248518455076</v>
      </c>
      <c r="BW12" s="9">
        <f>IF(管理者入力シート!$B$14=1,BV9*管理者用人口入力シート!AX$3,IF(管理者入力シート!$B$14=2,BV9*管理者用人口入力シート!AX$7))</f>
        <v>996.55550302939071</v>
      </c>
      <c r="BX12" s="9">
        <f>IF(管理者入力シート!$B$14=1,BW9*管理者用人口入力シート!AY$3,IF(管理者入力シート!$B$14=2,BW9*管理者用人口入力シート!AY$7))</f>
        <v>1075.5353273097201</v>
      </c>
      <c r="BY12" s="9">
        <f>IF(管理者入力シート!$B$14=1,BX9*管理者用人口入力シート!AZ$3,IF(管理者入力シート!$B$14=2,BX9*管理者用人口入力シート!AZ$7))</f>
        <v>822.72951027945373</v>
      </c>
      <c r="BZ12" s="9">
        <f>IF(管理者入力シート!$B$14=1,BY9*管理者用人口入力シート!BA$3,IF(管理者入力シート!$B$14=2,BY9*管理者用人口入力シート!BA$7))</f>
        <v>757.84293802550985</v>
      </c>
      <c r="CA12" s="9">
        <f>IF(管理者入力シート!$B$14=1,BZ9*管理者用人口入力シート!BB$3,IF(管理者入力シート!$B$14=2,BZ9*管理者用人口入力シート!BB$7))</f>
        <v>639.20394288651005</v>
      </c>
      <c r="CB12" s="9">
        <f>IF(管理者入力シート!$B$14=1,CA9*管理者用人口入力シート!BC$3,IF(管理者入力シート!$B$14=2,CA9*管理者用人口入力シート!BC$7))</f>
        <v>478.67614930058113</v>
      </c>
      <c r="CC12" s="9">
        <f>IF(管理者入力シート!$B$14=1,CB9*管理者用人口入力シート!BD$3,IF(管理者入力シート!$B$14=2,CB9*管理者用人口入力シート!BD$7))</f>
        <v>269.67558375779748</v>
      </c>
      <c r="CD12" s="9">
        <f>IF(管理者入力シート!$B$14=1,CC9*管理者用人口入力シート!BE$3,IF(管理者入力シート!$B$14=2,CC9*管理者用人口入力シート!BE$7))</f>
        <v>52.461231485475125</v>
      </c>
      <c r="CE12" s="9">
        <f>IF(管理者入力シート!$B$14=1,CD9*管理者用人口入力シート!BF$3,IF(管理者入力シート!$B$14=2,CD9*管理者用人口入力シート!BF$7))</f>
        <v>5.1244718545479957</v>
      </c>
      <c r="CF12" s="9">
        <f t="shared" si="2"/>
        <v>12373.418091994892</v>
      </c>
      <c r="CG12" s="9">
        <f t="shared" si="20"/>
        <v>551.68788407471413</v>
      </c>
      <c r="CH12" s="9">
        <f t="shared" si="21"/>
        <v>273.53495777802152</v>
      </c>
      <c r="CI12" s="9">
        <f t="shared" si="3"/>
        <v>4101.2491548995949</v>
      </c>
      <c r="CJ12" s="9">
        <f t="shared" si="22"/>
        <v>2202.9843173104218</v>
      </c>
      <c r="CK12" s="13">
        <f t="shared" si="23"/>
        <v>0.33145644351522718</v>
      </c>
      <c r="CL12" s="13">
        <f t="shared" si="24"/>
        <v>0.17804169397101879</v>
      </c>
      <c r="CM12" s="9">
        <f t="shared" si="25"/>
        <v>2458.482751947593</v>
      </c>
      <c r="CO12" s="7" t="str">
        <f t="shared" si="26"/>
        <v>2040_1</v>
      </c>
      <c r="CP12" s="28">
        <f>管理者入力シート!B11</f>
        <v>2040</v>
      </c>
      <c r="CQ12" s="3" t="s">
        <v>21</v>
      </c>
      <c r="CR12" s="9">
        <f>DT13*$AK$13+将来予測シート②!$G17</f>
        <v>455.34983743091362</v>
      </c>
      <c r="CS12" s="9">
        <f>IF(管理者入力シート!$B$14=1,CR9*管理者用人口入力シート!AM$3,IF(管理者入力シート!$B$14=2,CR9*管理者用人口入力シート!AM$7))+将来予測シート②!$G18</f>
        <v>457.26297191053965</v>
      </c>
      <c r="CT12" s="9">
        <f>IF(管理者入力シート!$B$14=1,CS9*管理者用人口入力シート!AN$3,IF(管理者入力シート!$B$14=2,CS9*管理者用人口入力シート!AN$7))+将来予測シート②!$G19</f>
        <v>467.15806547001876</v>
      </c>
      <c r="CU12" s="9">
        <f>IF(管理者入力シート!$B$14=1,CT9*管理者用人口入力シート!AO$3,IF(管理者入力シート!$B$14=2,CT9*管理者用人口入力シート!AO$7))+将来予測シート②!$G20</f>
        <v>440.23311254068091</v>
      </c>
      <c r="CV12" s="9">
        <f>IF(管理者入力シート!$B$14=1,CU9*管理者用人口入力シート!AP$3,IF(管理者入力シート!$B$14=2,CU9*管理者用人口入力シート!AP$7))+将来予測シート②!$G21</f>
        <v>420.70045521750063</v>
      </c>
      <c r="CW12" s="9">
        <f>IF(管理者入力シート!$B$14=1,CV9*管理者用人口入力シート!AQ$3,IF(管理者入力シート!$B$14=2,CV9*管理者用人口入力シート!AQ$7))+将来予測シート②!$G22</f>
        <v>672.69080283240726</v>
      </c>
      <c r="CX12" s="9">
        <f>IF(管理者入力シート!$B$14=1,CW9*管理者用人口入力シート!AR$3,IF(管理者入力シート!$B$14=2,CW9*管理者用人口入力シート!AR$7))+将来予測シート②!$G23</f>
        <v>689.50568303000102</v>
      </c>
      <c r="CY12" s="9">
        <f>IF(管理者入力シート!$B$14=1,CX9*管理者用人口入力シート!AS$3,IF(管理者入力シート!$B$14=2,CX9*管理者用人口入力シート!AS$7))+将来予測シート②!$G24</f>
        <v>682.70321813624821</v>
      </c>
      <c r="CZ12" s="9">
        <f>IF(管理者入力シート!$B$14=1,CY9*管理者用人口入力シート!AT$3,IF(管理者入力シート!$B$14=2,CY9*管理者用人口入力シート!AT$7))+将来予測シート②!$G25</f>
        <v>699.85793697712529</v>
      </c>
      <c r="DA12" s="9">
        <f>IF(管理者入力シート!$B$14=1,CZ9*管理者用人口入力シート!AU$3,IF(管理者入力シート!$B$14=2,CZ9*管理者用人口入力シート!AU$7))+将来予測シート②!$G26</f>
        <v>731.84926740848061</v>
      </c>
      <c r="DB12" s="9">
        <f>IF(管理者入力シート!$B$14=1,DA9*管理者用人口入力シート!AV$3,IF(管理者入力シート!$B$14=2,DA9*管理者用人口入力シート!AV$7))+将来予測シート②!$G27</f>
        <v>701.31137535990354</v>
      </c>
      <c r="DC12" s="9">
        <f>IF(管理者入力シート!$B$14=1,DB9*管理者用人口入力シート!AW$3,IF(管理者入力シート!$B$14=2,DB9*管理者用人口入力シート!AW$7))+将来予測シート②!$G28</f>
        <v>874.90248518455076</v>
      </c>
      <c r="DD12" s="9">
        <f>IF(管理者入力シート!$B$14=1,DC9*管理者用人口入力シート!AX$3,IF(管理者入力シート!$B$14=2,DC9*管理者用人口入力シート!AX$7))+将来予測シート②!$G29</f>
        <v>996.55550302939071</v>
      </c>
      <c r="DE12" s="9">
        <f>IF(管理者入力シート!$B$14=1,DD9*管理者用人口入力シート!AY$3,IF(管理者入力シート!$B$14=2,DD9*管理者用人口入力シート!AY$7))</f>
        <v>1075.5353273097201</v>
      </c>
      <c r="DF12" s="9">
        <f>IF(管理者入力シート!$B$14=1,DE9*管理者用人口入力シート!AZ$3,IF(管理者入力シート!$B$14=2,DE9*管理者用人口入力シート!AZ$7))</f>
        <v>822.72951027945373</v>
      </c>
      <c r="DG12" s="9">
        <f>IF(管理者入力シート!$B$14=1,DF9*管理者用人口入力シート!BA$3,IF(管理者入力シート!$B$14=2,DF9*管理者用人口入力シート!BA$7))</f>
        <v>757.84293802550985</v>
      </c>
      <c r="DH12" s="9">
        <f>IF(管理者入力シート!$B$14=1,DG9*管理者用人口入力シート!BB$3,IF(管理者入力シート!$B$14=2,DG9*管理者用人口入力シート!BB$7))</f>
        <v>639.20394288651005</v>
      </c>
      <c r="DI12" s="9">
        <f>IF(管理者入力シート!$B$14=1,DH9*管理者用人口入力シート!BC$3,IF(管理者入力シート!$B$14=2,DH9*管理者用人口入力シート!BC$7))</f>
        <v>478.67614930058113</v>
      </c>
      <c r="DJ12" s="9">
        <f>IF(管理者入力シート!$B$14=1,DI9*管理者用人口入力シート!BD$3,IF(管理者入力シート!$B$14=2,DI9*管理者用人口入力シート!BD$7))</f>
        <v>269.67558375779748</v>
      </c>
      <c r="DK12" s="9">
        <f>IF(管理者入力シート!$B$14=1,DJ9*管理者用人口入力シート!BE$3,IF(管理者入力シート!$B$14=2,DJ9*管理者用人口入力シート!BE$7))</f>
        <v>52.461231485475125</v>
      </c>
      <c r="DL12" s="9">
        <f>IF(管理者入力シート!$B$14=1,DK9*管理者用人口入力シート!BF$3,IF(管理者入力シート!$B$14=2,DK9*管理者用人口入力シート!BF$7))</f>
        <v>5.1244718545479957</v>
      </c>
      <c r="DM12" s="9">
        <f t="shared" si="69"/>
        <v>12391.329869427356</v>
      </c>
      <c r="DN12" s="9">
        <f t="shared" si="34"/>
        <v>554.65262242833501</v>
      </c>
      <c r="DO12" s="9">
        <f t="shared" si="35"/>
        <v>274.90984869614368</v>
      </c>
      <c r="DP12" s="9">
        <f t="shared" si="6"/>
        <v>4101.2491548995949</v>
      </c>
      <c r="DQ12" s="9">
        <f t="shared" si="36"/>
        <v>2202.9843173104218</v>
      </c>
      <c r="DR12" s="13">
        <f t="shared" si="37"/>
        <v>0.33097732028088822</v>
      </c>
      <c r="DS12" s="13">
        <f t="shared" si="38"/>
        <v>0.17778433312035047</v>
      </c>
      <c r="DT12" s="9">
        <f t="shared" si="70"/>
        <v>2465.6001592161574</v>
      </c>
      <c r="DV12" s="212"/>
      <c r="DX12" s="28">
        <f>管理者入力シート!B11</f>
        <v>2040</v>
      </c>
      <c r="DY12" s="3" t="s">
        <v>21</v>
      </c>
      <c r="DZ12" s="9">
        <f>FB13*$AK$13</f>
        <v>929.05135432252678</v>
      </c>
      <c r="EA12" s="129">
        <f>IF(管理者入力シート!$B$14=1,DZ9*管理者用人口入力シート!AM$3,IF(管理者入力シート!$B$14=2,DZ9*管理者用人口入力シート!AM$7))</f>
        <v>887.10968579770906</v>
      </c>
      <c r="EB12" s="9">
        <f>IF(管理者入力シート!$B$14=1,EA9*管理者用人口入力シート!AN$3,IF(管理者入力シート!$B$14=2,EA9*管理者用人口入力シート!AN$7))</f>
        <v>811.50112666460666</v>
      </c>
      <c r="EC12" s="9">
        <f>IF(管理者入力シート!$B$14=1,EB9*管理者用人口入力シート!AO$3,IF(管理者入力シート!$B$14=2,EB9*管理者用人口入力シート!AO$7))</f>
        <v>438.68751372220476</v>
      </c>
      <c r="ED12" s="9">
        <f>IF(管理者入力シート!$B$14=1,EC9*管理者用人口入力シート!AP$3,IF(管理者入力シート!$B$14=2,EC9*管理者用人口入力シート!AP$7))</f>
        <v>420.02318089222143</v>
      </c>
      <c r="EE12" s="9">
        <f>IF(管理者入力シート!$B$14=1,ED9*管理者用人口入力シート!AQ$3,IF(管理者入力シート!$B$14=2,ED9*管理者用人口入力シート!AQ$7))+DX1</f>
        <v>1012.8292826002419</v>
      </c>
      <c r="EF12" s="9">
        <f>IF(管理者入力シート!$B$14=1,EE9*管理者用人口入力シート!AR$3,IF(管理者入力シート!$B$14=2,EE9*管理者用人口入力シート!AR$7))+DX1</f>
        <v>1350.6780181813228</v>
      </c>
      <c r="EG12" s="9">
        <f>IF(管理者入力シート!$B$14=1,EF9*管理者用人口入力シート!AS$3,IF(管理者入力シート!$B$14=2,EF9*管理者用人口入力シート!AS$7))+DX1</f>
        <v>1632.4493918263149</v>
      </c>
      <c r="EH12" s="9">
        <f>IF(管理者入力シート!$B$14=1,EG9*管理者用人口入力シート!AT$3,IF(管理者入力シート!$B$14=2,EG9*管理者用人口入力シート!AT$7))</f>
        <v>1603.8983682050336</v>
      </c>
      <c r="EI12" s="9">
        <f>IF(管理者入力シート!$B$14=1,EH9*管理者用人口入力シート!AU$3,IF(管理者入力シート!$B$14=2,EH9*管理者用人口入力シート!AU$7))</f>
        <v>1358.4414197445533</v>
      </c>
      <c r="EJ12" s="9">
        <f>IF(管理者入力シート!$B$14=1,EI9*管理者用人口入力シート!AV$3,IF(管理者入力シート!$B$14=2,EI9*管理者用人口入力シート!AV$7))</f>
        <v>1016.4292790605609</v>
      </c>
      <c r="EK12" s="9">
        <f>IF(管理者入力シート!$B$14=1,EJ9*管理者用人口入力シート!AW$3,IF(管理者入力シート!$B$14=2,EJ9*管理者用人口入力シート!AW$7))</f>
        <v>874.90248518455076</v>
      </c>
      <c r="EL12" s="9">
        <f>IF(管理者入力シート!$B$14=1,EK9*管理者用人口入力シート!AX$3,IF(管理者入力シート!$B$14=2,EK9*管理者用人口入力シート!AX$7))</f>
        <v>996.55550302939071</v>
      </c>
      <c r="EM12" s="9">
        <f>IF(管理者入力シート!$B$14=1,EL9*管理者用人口入力シート!AY$3,IF(管理者入力シート!$B$14=2,EL9*管理者用人口入力シート!AY$7))</f>
        <v>1075.5353273097201</v>
      </c>
      <c r="EN12" s="9">
        <f>IF(管理者入力シート!$B$14=1,EM9*管理者用人口入力シート!AZ$3,IF(管理者入力シート!$B$14=2,EM9*管理者用人口入力シート!AZ$7))</f>
        <v>822.72951027945373</v>
      </c>
      <c r="EO12" s="9">
        <f>IF(管理者入力シート!$B$14=1,EN9*管理者用人口入力シート!BA$3,IF(管理者入力シート!$B$14=2,EN9*管理者用人口入力シート!BA$7))</f>
        <v>757.84293802550985</v>
      </c>
      <c r="EP12" s="9">
        <f>IF(管理者入力シート!$B$14=1,EO9*管理者用人口入力シート!BB$3,IF(管理者入力シート!$B$14=2,EO9*管理者用人口入力シート!BB$7))</f>
        <v>639.20394288651005</v>
      </c>
      <c r="EQ12" s="9">
        <f>IF(管理者入力シート!$B$14=1,EP9*管理者用人口入力シート!BC$3,IF(管理者入力シート!$B$14=2,EP9*管理者用人口入力シート!BC$7))</f>
        <v>478.67614930058113</v>
      </c>
      <c r="ER12" s="9">
        <f>IF(管理者入力シート!$B$14=1,EQ9*管理者用人口入力シート!BD$3,IF(管理者入力シート!$B$14=2,EQ9*管理者用人口入力シート!BD$7))</f>
        <v>269.67558375779748</v>
      </c>
      <c r="ES12" s="9">
        <f>IF(管理者入力シート!$B$14=1,ER9*管理者用人口入力シート!BE$3,IF(管理者入力シート!$B$14=2,ER9*管理者用人口入力シート!BE$7))</f>
        <v>52.461231485475125</v>
      </c>
      <c r="ET12" s="9">
        <f>IF(管理者入力シート!$B$14=1,ES9*管理者用人口入力シート!BF$3,IF(管理者入力シート!$B$14=2,ES9*管理者用人口入力シート!BF$7))</f>
        <v>5.1244718545479957</v>
      </c>
      <c r="EU12" s="9">
        <f t="shared" si="71"/>
        <v>17433.805764130833</v>
      </c>
      <c r="EV12" s="9">
        <f t="shared" si="41"/>
        <v>1019.1664874773894</v>
      </c>
      <c r="EW12" s="9">
        <f t="shared" si="42"/>
        <v>412.3379534102836</v>
      </c>
      <c r="EX12" s="9">
        <f t="shared" si="10"/>
        <v>4101.2491548995949</v>
      </c>
      <c r="EY12" s="9">
        <f t="shared" si="43"/>
        <v>2202.9843173104218</v>
      </c>
      <c r="EZ12" s="13">
        <f t="shared" si="44"/>
        <v>0.23524692258174093</v>
      </c>
      <c r="FA12" s="13">
        <f t="shared" si="45"/>
        <v>0.12636278888932845</v>
      </c>
      <c r="FB12" s="9">
        <f t="shared" si="72"/>
        <v>4415.9798735001013</v>
      </c>
    </row>
    <row r="13" spans="1:158" x14ac:dyDescent="0.15">
      <c r="A13" s="7" t="str">
        <f t="shared" si="11"/>
        <v>2020_2</v>
      </c>
      <c r="B13" s="29">
        <v>2020</v>
      </c>
      <c r="C13" s="4" t="s">
        <v>22</v>
      </c>
      <c r="D13" s="10">
        <v>689.14474907143972</v>
      </c>
      <c r="E13" s="10">
        <v>720.49996079731648</v>
      </c>
      <c r="F13" s="10">
        <v>797.43535995133766</v>
      </c>
      <c r="G13" s="10">
        <v>722.4779503828529</v>
      </c>
      <c r="H13" s="10">
        <v>575.53582841433604</v>
      </c>
      <c r="I13" s="10">
        <v>645.60729050673251</v>
      </c>
      <c r="J13" s="10">
        <v>834.25008265693998</v>
      </c>
      <c r="K13" s="10">
        <v>928.74220345431161</v>
      </c>
      <c r="L13" s="10">
        <v>1133.0489337343445</v>
      </c>
      <c r="M13" s="10">
        <v>1183.8351309627617</v>
      </c>
      <c r="N13" s="10">
        <v>1078.4549503038097</v>
      </c>
      <c r="O13" s="10">
        <v>1210.2453155918877</v>
      </c>
      <c r="P13" s="10">
        <v>1224.7716163447258</v>
      </c>
      <c r="Q13" s="10">
        <v>1388.8235836552931</v>
      </c>
      <c r="R13" s="10">
        <v>1438.5997790881947</v>
      </c>
      <c r="S13" s="10">
        <v>1110.0901181664369</v>
      </c>
      <c r="T13" s="10">
        <v>1009.4336654066342</v>
      </c>
      <c r="U13" s="10">
        <v>881.46334511301086</v>
      </c>
      <c r="V13" s="10">
        <v>527.51304590464531</v>
      </c>
      <c r="W13" s="10">
        <v>174.69221042987937</v>
      </c>
      <c r="X13" s="10">
        <v>38.33488006310693</v>
      </c>
      <c r="Y13" s="10">
        <f t="shared" si="177"/>
        <v>18313</v>
      </c>
      <c r="Z13" s="10">
        <f t="shared" ref="Z13:Z14" si="179">E13*3/5+F13*3/5</f>
        <v>910.76119244919244</v>
      </c>
      <c r="AA13" s="10">
        <f t="shared" ref="AA13:AA14" si="180">F13*2/5+G13*1/5</f>
        <v>463.46973405710565</v>
      </c>
      <c r="AB13" s="10">
        <f t="shared" si="178"/>
        <v>6568.9506278272011</v>
      </c>
      <c r="AC13" s="10">
        <f t="shared" ref="AC13:AC14" si="181">SUM(S13:X13)</f>
        <v>3741.5272650837137</v>
      </c>
      <c r="AD13" s="14">
        <f t="shared" ref="AD13:AD14" si="182">AB13/Y13</f>
        <v>0.35870423348589531</v>
      </c>
      <c r="AE13" s="14">
        <f t="shared" ref="AE13:AE14" si="183">AC13/Y13</f>
        <v>0.20430990362495025</v>
      </c>
      <c r="AF13" s="10">
        <f t="shared" ref="AF13:AF14" si="184">SUM(H13:K13)</f>
        <v>2984.1354050323198</v>
      </c>
      <c r="AI13" s="60" t="s">
        <v>47</v>
      </c>
      <c r="AJ13" s="1" t="s">
        <v>21</v>
      </c>
      <c r="AK13" s="8">
        <f>VLOOKUP(AK12&amp;"_1",A:D,4,FALSE)/VLOOKUP(AK12&amp;"_2",A:AF,32,FALSE)</f>
        <v>0.24194359841750379</v>
      </c>
      <c r="AL13" s="63"/>
      <c r="BH13" s="7" t="str">
        <f t="shared" si="19"/>
        <v>2040_2</v>
      </c>
      <c r="BI13" s="29">
        <f>BI12</f>
        <v>2040</v>
      </c>
      <c r="BJ13" s="4" t="s">
        <v>22</v>
      </c>
      <c r="BK13" s="10">
        <f>CM13*$AK$14</f>
        <v>432.07763817436603</v>
      </c>
      <c r="BL13" s="10">
        <f>IF(管理者入力シート!$B$14=1,BK10*管理者用人口入力シート!AM$4,IF(管理者入力シート!$B$14=2,BK10*管理者用人口入力シート!AM$8))</f>
        <v>452.18667293294288</v>
      </c>
      <c r="BM13" s="10">
        <f>IF(管理者入力シート!$B$14=1,BL10*管理者用人口入力シート!AN$4,IF(管理者入力シート!$B$14=2,BL10*管理者用人口入力シート!AN$8))</f>
        <v>460.03370738962343</v>
      </c>
      <c r="BN13" s="10">
        <f>IF(管理者入力シート!$B$14=1,BM10*管理者用人口入力シート!AO$4,IF(管理者入力シート!$B$14=2,BM10*管理者用人口入力シート!AO$8))</f>
        <v>454.59015760736622</v>
      </c>
      <c r="BO13" s="10">
        <f>IF(管理者入力シート!$B$14=1,BN10*管理者用人口入力シート!AP$4,IF(管理者入力シート!$B$14=2,BN10*管理者用人口入力シート!AP$8))</f>
        <v>381.1360063932118</v>
      </c>
      <c r="BP13" s="10">
        <f>IF(管理者入力シート!$B$14=1,BO10*管理者用人口入力シート!AQ$4,IF(管理者入力シート!$B$14=2,BO10*管理者用人口入力シート!AQ$8))</f>
        <v>470.63157967423837</v>
      </c>
      <c r="BQ13" s="10">
        <f>IF(管理者入力シート!$B$14=1,BP10*管理者用人口入力シート!AR$4,IF(管理者入力シート!$B$14=2,BP10*管理者用人口入力シート!AR$8))</f>
        <v>517.6958844446865</v>
      </c>
      <c r="BR13" s="10">
        <f>IF(管理者入力シート!$B$14=1,BQ10*管理者用人口入力シート!AS$4,IF(管理者入力シート!$B$14=2,BQ10*管理者用人口入力シート!AS$8))</f>
        <v>501.51962779368461</v>
      </c>
      <c r="BS13" s="10">
        <f>IF(管理者入力シート!$B$14=1,BR10*管理者用人口入力シート!AT$4,IF(管理者入力シート!$B$14=2,BR10*管理者用人口入力シート!AT$8))</f>
        <v>536.35714028927464</v>
      </c>
      <c r="BT13" s="10">
        <f>IF(管理者入力シート!$B$14=1,BS10*管理者用人口入力シート!AU$4,IF(管理者入力シート!$B$14=2,BS10*管理者用人口入力シート!AU$8))</f>
        <v>516.18215858720498</v>
      </c>
      <c r="BU13" s="10">
        <f>IF(管理者入力シート!$B$14=1,BT10*管理者用人口入力シート!AV$4,IF(管理者入力シート!$B$14=2,BT10*管理者用人口入力シート!AV$8))</f>
        <v>703.31346102147984</v>
      </c>
      <c r="BV13" s="10">
        <f>IF(管理者入力シート!$B$14=1,BU10*管理者用人口入力シート!AW$4,IF(管理者入力シート!$B$14=2,BU10*管理者用人口入力シート!AW$8))</f>
        <v>830.86841369863726</v>
      </c>
      <c r="BW13" s="10">
        <f>IF(管理者入力シート!$B$14=1,BV10*管理者用人口入力シート!AX$4,IF(管理者入力シート!$B$14=2,BV10*管理者用人口入力シート!AX$8))</f>
        <v>1027.3833969858249</v>
      </c>
      <c r="BX13" s="10">
        <f>IF(管理者入力シート!$B$14=1,BW10*管理者用人口入力シート!AY$4,IF(管理者入力シート!$B$14=2,BW10*管理者用人口入力シート!AY$8))</f>
        <v>1064.1974161955386</v>
      </c>
      <c r="BY13" s="10">
        <f>IF(管理者入力シート!$B$14=1,BX10*管理者用人口入力シート!AZ$4,IF(管理者入力シート!$B$14=2,BX10*管理者用人口入力シート!AZ$8))</f>
        <v>935.31113944556785</v>
      </c>
      <c r="BZ13" s="10">
        <f>IF(管理者入力シート!$B$14=1,BY10*管理者用人口入力シート!BA$4,IF(管理者入力シート!$B$14=2,BY10*管理者用人口入力シート!BA$8))</f>
        <v>995.92176229320762</v>
      </c>
      <c r="CA13" s="10">
        <f>IF(管理者入力シート!$B$14=1,BZ10*管理者用人口入力シート!BB$4,IF(管理者入力シート!$B$14=2,BZ10*管理者用人口入力シート!BB$8))</f>
        <v>915.91042327659841</v>
      </c>
      <c r="CB13" s="10">
        <f>IF(管理者入力シート!$B$14=1,CA10*管理者用人口入力シート!BC$4,IF(管理者入力シート!$B$14=2,CA10*管理者用人口入力シート!BC$8))</f>
        <v>852.19449041378846</v>
      </c>
      <c r="CC13" s="10">
        <f>IF(管理者入力シート!$B$14=1,CB10*管理者用人口入力シート!BD$4,IF(管理者入力シート!$B$14=2,CB10*管理者用人口入力シート!BD$8))</f>
        <v>580.81975483470649</v>
      </c>
      <c r="CD13" s="10">
        <f>IF(管理者入力シート!$B$14=1,CC10*管理者用人口入力シート!BE$4,IF(管理者入力シート!$B$14=2,CC10*管理者用人口入力シート!BE$8))</f>
        <v>189.90563389320133</v>
      </c>
      <c r="CE13" s="10">
        <f>IF(管理者入力シート!$B$14=1,CD10*管理者用人口入力シート!BF$4,IF(管理者入力シート!$B$14=2,CD10*管理者用人口入力シート!BF$8))</f>
        <v>47.171200432545582</v>
      </c>
      <c r="CF13" s="10">
        <f t="shared" si="2"/>
        <v>12865.407665777697</v>
      </c>
      <c r="CG13" s="10">
        <f t="shared" si="20"/>
        <v>547.33222819353978</v>
      </c>
      <c r="CH13" s="10">
        <f t="shared" si="21"/>
        <v>274.93151447732259</v>
      </c>
      <c r="CI13" s="10">
        <f t="shared" si="3"/>
        <v>5581.4318207851538</v>
      </c>
      <c r="CJ13" s="10">
        <f t="shared" si="22"/>
        <v>3581.9232651440479</v>
      </c>
      <c r="CK13" s="14">
        <f t="shared" si="23"/>
        <v>0.43383248831141985</v>
      </c>
      <c r="CL13" s="14">
        <f t="shared" si="24"/>
        <v>0.27841506139537675</v>
      </c>
      <c r="CM13" s="10">
        <f t="shared" si="25"/>
        <v>1870.9830983058212</v>
      </c>
      <c r="CO13" s="7" t="str">
        <f t="shared" si="26"/>
        <v>2040_2</v>
      </c>
      <c r="CP13" s="29">
        <f>CP12</f>
        <v>2040</v>
      </c>
      <c r="CQ13" s="4" t="s">
        <v>22</v>
      </c>
      <c r="CR13" s="10">
        <f>DT13*$AK$14+将来予測シート②!$H17</f>
        <v>434.67877491258383</v>
      </c>
      <c r="CS13" s="10">
        <f>IF(管理者入力シート!$B$14=1,CR10*管理者用人口入力シート!AM$4,IF(管理者入力シート!$B$14=2,CR10*管理者用人口入力シート!AM$8))+将来予測シート②!$H18</f>
        <v>454.49243704932167</v>
      </c>
      <c r="CT13" s="10">
        <f>IF(管理者入力シート!$B$14=1,CS10*管理者用人口入力シート!AN$4,IF(管理者入力シート!$B$14=2,CS10*管理者用人口入力シート!AN$8))+将来予測シート②!$H19</f>
        <v>462.72270296581394</v>
      </c>
      <c r="CU13" s="10">
        <f>IF(管理者入力シート!$B$14=1,CT10*管理者用人口入力シート!AO$4,IF(管理者入力シート!$B$14=2,CT10*管理者用人口入力シート!AO$8))+将来予測シート②!$H20</f>
        <v>456.23541238068981</v>
      </c>
      <c r="CV13" s="10">
        <f>IF(管理者入力シート!$B$14=1,CU10*管理者用人口入力シート!AP$4,IF(管理者入力シート!$B$14=2,CU10*管理者用人口入力シート!AP$8))+将来予測シート②!$H21</f>
        <v>381.75653448494842</v>
      </c>
      <c r="CW13" s="10">
        <f>IF(管理者入力シート!$B$14=1,CV10*管理者用人口入力シート!AQ$4,IF(管理者入力シート!$B$14=2,CV10*管理者用人口入力シート!AQ$8))+将来予測シート②!$H22</f>
        <v>473.32378687994333</v>
      </c>
      <c r="CX13" s="10">
        <f>IF(管理者入力シート!$B$14=1,CW10*管理者用人口入力シート!AR$4,IF(管理者入力シート!$B$14=2,CW10*管理者用人口入力シート!AR$8))+将来予測シート②!$H23</f>
        <v>519.57162644510765</v>
      </c>
      <c r="CY13" s="10">
        <f>IF(管理者入力シート!$B$14=1,CX10*管理者用人口入力シート!AS$4,IF(管理者入力シート!$B$14=2,CX10*管理者用人口入力シート!AS$8))+将来予測シート②!$H24</f>
        <v>503.26439468762845</v>
      </c>
      <c r="CZ13" s="10">
        <f>IF(管理者入力シート!$B$14=1,CY10*管理者用人口入力シート!AT$4,IF(管理者入力シート!$B$14=2,CY10*管理者用人口入力シート!AT$8))+将来予測シート②!$H25</f>
        <v>539.02798861886163</v>
      </c>
      <c r="DA13" s="10">
        <f>IF(管理者入力シート!$B$14=1,CZ10*管理者用人口入力シート!AU$4,IF(管理者入力シート!$B$14=2,CZ10*管理者用人口入力シート!AU$8))+将来予測シート②!$H26</f>
        <v>517.13919294704522</v>
      </c>
      <c r="DB13" s="10">
        <f>IF(管理者入力シート!$B$14=1,DA10*管理者用人口入力シート!AV$4,IF(管理者入力シート!$B$14=2,DA10*管理者用人口入力シート!AV$8))+将来予測シート②!$H27</f>
        <v>704.25989156040612</v>
      </c>
      <c r="DC13" s="10">
        <f>IF(管理者入力シート!$B$14=1,DB10*管理者用人口入力シート!AW$4,IF(管理者入力シート!$B$14=2,DB10*管理者用人口入力シート!AW$8))+将来予測シート②!$H28</f>
        <v>831.80260851134506</v>
      </c>
      <c r="DD13" s="10">
        <f>IF(管理者入力シート!$B$14=1,DC10*管理者用人口入力シート!AX$4,IF(管理者入力シート!$B$14=2,DC10*管理者用人口入力シート!AX$8))+将来予測シート②!$H29</f>
        <v>1027.3833969858249</v>
      </c>
      <c r="DE13" s="10">
        <f>IF(管理者入力シート!$B$14=1,DD10*管理者用人口入力シート!AY$4,IF(管理者入力シート!$B$14=2,DD10*管理者用人口入力シート!AY$8))</f>
        <v>1064.1974161955386</v>
      </c>
      <c r="DF13" s="10">
        <f>IF(管理者入力シート!$B$14=1,DE10*管理者用人口入力シート!AZ$4,IF(管理者入力シート!$B$14=2,DE10*管理者用人口入力シート!AZ$8))</f>
        <v>935.31113944556785</v>
      </c>
      <c r="DG13" s="10">
        <f>IF(管理者入力シート!$B$14=1,DF10*管理者用人口入力シート!BA$4,IF(管理者入力シート!$B$14=2,DF10*管理者用人口入力シート!BA$8))</f>
        <v>995.92176229320762</v>
      </c>
      <c r="DH13" s="10">
        <f>IF(管理者入力シート!$B$14=1,DG10*管理者用人口入力シート!BB$4,IF(管理者入力シート!$B$14=2,DG10*管理者用人口入力シート!BB$8))</f>
        <v>915.91042327659841</v>
      </c>
      <c r="DI13" s="10">
        <f>IF(管理者入力シート!$B$14=1,DH10*管理者用人口入力シート!BC$4,IF(管理者入力シート!$B$14=2,DH10*管理者用人口入力シート!BC$8))</f>
        <v>852.19449041378846</v>
      </c>
      <c r="DJ13" s="10">
        <f>IF(管理者入力シート!$B$14=1,DI10*管理者用人口入力シート!BD$4,IF(管理者入力シート!$B$14=2,DI10*管理者用人口入力シート!BD$8))</f>
        <v>580.81975483470649</v>
      </c>
      <c r="DK13" s="10">
        <f>IF(管理者入力シート!$B$14=1,DJ10*管理者用人口入力シート!BE$4,IF(管理者入力シート!$B$14=2,DJ10*管理者用人口入力シート!BE$8))</f>
        <v>189.90563389320133</v>
      </c>
      <c r="DL13" s="10">
        <f>IF(管理者入力シート!$B$14=1,DK10*管理者用人口入力シート!BF$4,IF(管理者入力シート!$B$14=2,DK10*管理者用人口入力シート!BF$8))</f>
        <v>47.171200432545582</v>
      </c>
      <c r="DM13" s="10">
        <f t="shared" si="69"/>
        <v>12887.090569214677</v>
      </c>
      <c r="DN13" s="10">
        <f t="shared" si="34"/>
        <v>550.32908400908138</v>
      </c>
      <c r="DO13" s="10">
        <f t="shared" si="35"/>
        <v>276.33616366246355</v>
      </c>
      <c r="DP13" s="10">
        <f t="shared" si="6"/>
        <v>5581.4318207851538</v>
      </c>
      <c r="DQ13" s="10">
        <f t="shared" si="36"/>
        <v>3581.9232651440479</v>
      </c>
      <c r="DR13" s="14">
        <f t="shared" si="37"/>
        <v>0.43310255257446206</v>
      </c>
      <c r="DS13" s="14">
        <f t="shared" si="38"/>
        <v>0.27794661998424408</v>
      </c>
      <c r="DT13" s="10">
        <f t="shared" si="70"/>
        <v>1877.916342497628</v>
      </c>
      <c r="DV13" s="62"/>
      <c r="DX13" s="29">
        <f>DX12</f>
        <v>2040</v>
      </c>
      <c r="DY13" s="4" t="s">
        <v>22</v>
      </c>
      <c r="DZ13" s="10">
        <f>FB13*$AK$14</f>
        <v>886.78331096516558</v>
      </c>
      <c r="EA13" s="10">
        <f>IF(管理者入力シート!$B$14=1,DZ10*管理者用人口入力シート!AM$4,IF(管理者入力シート!$B$14=2,DZ10*管理者用人口入力シート!AM$8))</f>
        <v>881.65136546104975</v>
      </c>
      <c r="EB13" s="10">
        <f>IF(管理者入力シート!$B$14=1,EA10*管理者用人口入力シート!AN$4,IF(管理者入力シート!$B$14=2,EA10*管理者用人口入力シート!AN$8))</f>
        <v>803.70933344141429</v>
      </c>
      <c r="EC13" s="10">
        <f>IF(管理者入力シート!$B$14=1,EB10*管理者用人口入力シート!AO$4,IF(管理者入力シート!$B$14=2,EB10*管理者用人口入力シート!AO$8))</f>
        <v>454.59015760736622</v>
      </c>
      <c r="ED13" s="10">
        <f>IF(管理者入力シート!$B$14=1,EC10*管理者用人口入力シート!AP$4,IF(管理者入力シート!$B$14=2,EC10*管理者用人口入力シート!AP$8))</f>
        <v>381.1360063932118</v>
      </c>
      <c r="EE13" s="10">
        <f>IF(管理者入力シート!$B$14=1,ED10*管理者用人口入力シート!AQ$4,IF(管理者入力シート!$B$14=2,ED10*管理者用人口入力シート!AQ$8))+DX1</f>
        <v>813.63157967423831</v>
      </c>
      <c r="EF13" s="10">
        <f>IF(管理者入力シート!$B$14=1,EE10*管理者用人口入力シート!AR$4,IF(管理者入力シート!$B$14=2,EE10*管理者用人口入力シート!AR$8))+DX1</f>
        <v>1182.3856375169125</v>
      </c>
      <c r="EG13" s="10">
        <f>IF(管理者入力シート!$B$14=1,EF10*管理者用人口入力シート!AS$4,IF(管理者入力シート!$B$14=2,EF10*管理者用人口入力シート!AS$8))+DX1</f>
        <v>1462.796915205146</v>
      </c>
      <c r="EH13" s="10">
        <f>IF(管理者入力シート!$B$14=1,EG10*管理者用人口入力シート!AT$4,IF(管理者入力シート!$B$14=2,EG10*管理者用人口入力シート!AT$8))</f>
        <v>1456.9090807900004</v>
      </c>
      <c r="EI13" s="10">
        <f>IF(管理者入力シート!$B$14=1,EH10*管理者用人口入力シート!AU$4,IF(管理者入力シート!$B$14=2,EH10*管理者用人口入力シート!AU$8))</f>
        <v>1122.9433323173325</v>
      </c>
      <c r="EJ13" s="10">
        <f>IF(管理者入力シート!$B$14=1,EI10*管理者用人口入力シート!AV$4,IF(管理者入力シート!$B$14=2,EI10*管理者用人口入力シート!AV$8))</f>
        <v>1014.1860873016929</v>
      </c>
      <c r="EK13" s="10">
        <f>IF(管理者入力シート!$B$14=1,EJ10*管理者用人口入力シート!AW$4,IF(管理者入力シート!$B$14=2,EJ10*管理者用人口入力シート!AW$8))</f>
        <v>830.86841369863726</v>
      </c>
      <c r="EL13" s="10">
        <f>IF(管理者入力シート!$B$14=1,EK10*管理者用人口入力シート!AX$4,IF(管理者入力シート!$B$14=2,EK10*管理者用人口入力シート!AX$8))</f>
        <v>1027.3833969858249</v>
      </c>
      <c r="EM13" s="10">
        <f>IF(管理者入力シート!$B$14=1,EL10*管理者用人口入力シート!AY$4,IF(管理者入力シート!$B$14=2,EL10*管理者用人口入力シート!AY$8))</f>
        <v>1064.1974161955386</v>
      </c>
      <c r="EN13" s="10">
        <f>IF(管理者入力シート!$B$14=1,EM10*管理者用人口入力シート!AZ$4,IF(管理者入力シート!$B$14=2,EM10*管理者用人口入力シート!AZ$8))</f>
        <v>935.31113944556785</v>
      </c>
      <c r="EO13" s="10">
        <f>IF(管理者入力シート!$B$14=1,EN10*管理者用人口入力シート!BA$4,IF(管理者入力シート!$B$14=2,EN10*管理者用人口入力シート!BA$8))</f>
        <v>995.92176229320762</v>
      </c>
      <c r="EP13" s="10">
        <f>IF(管理者入力シート!$B$14=1,EO10*管理者用人口入力シート!BB$4,IF(管理者入力シート!$B$14=2,EO10*管理者用人口入力シート!BB$8))</f>
        <v>915.91042327659841</v>
      </c>
      <c r="EQ13" s="10">
        <f>IF(管理者入力シート!$B$14=1,EP10*管理者用人口入力シート!BC$4,IF(管理者入力シート!$B$14=2,EP10*管理者用人口入力シート!BC$8))</f>
        <v>852.19449041378846</v>
      </c>
      <c r="ER13" s="10">
        <f>IF(管理者入力シート!$B$14=1,EQ10*管理者用人口入力シート!BD$4,IF(管理者入力シート!$B$14=2,EQ10*管理者用人口入力シート!BD$8))</f>
        <v>580.81975483470649</v>
      </c>
      <c r="ES13" s="10">
        <f>IF(管理者入力シート!$B$14=1,ER10*管理者用人口入力シート!BE$4,IF(管理者入力シート!$B$14=2,ER10*管理者用人口入力シート!BE$8))</f>
        <v>189.90563389320133</v>
      </c>
      <c r="ET13" s="10">
        <f>IF(管理者入力シート!$B$14=1,ES10*管理者用人口入力シート!BF$4,IF(管理者入力シート!$B$14=2,ES10*管理者用人口入力シート!BF$8))</f>
        <v>47.171200432545582</v>
      </c>
      <c r="EU13" s="10">
        <f t="shared" si="71"/>
        <v>17900.406438143145</v>
      </c>
      <c r="EV13" s="10">
        <f t="shared" si="41"/>
        <v>1011.2164193414784</v>
      </c>
      <c r="EW13" s="10">
        <f t="shared" si="42"/>
        <v>412.401764898039</v>
      </c>
      <c r="EX13" s="10">
        <f t="shared" si="10"/>
        <v>5581.4318207851538</v>
      </c>
      <c r="EY13" s="10">
        <f t="shared" si="43"/>
        <v>3581.9232651440479</v>
      </c>
      <c r="EZ13" s="14">
        <f t="shared" si="44"/>
        <v>0.31180475371173361</v>
      </c>
      <c r="FA13" s="14">
        <f t="shared" si="45"/>
        <v>0.20010290143532686</v>
      </c>
      <c r="FB13" s="10">
        <f t="shared" si="72"/>
        <v>3839.9501387895084</v>
      </c>
    </row>
    <row r="14" spans="1:158" x14ac:dyDescent="0.15">
      <c r="A14" s="7" t="str">
        <f t="shared" si="11"/>
        <v>2020_3</v>
      </c>
      <c r="B14" s="30">
        <v>2020</v>
      </c>
      <c r="C14" s="5" t="s">
        <v>23</v>
      </c>
      <c r="D14" s="11">
        <v>1411.1372071300343</v>
      </c>
      <c r="E14" s="11">
        <v>1541.5657969685212</v>
      </c>
      <c r="F14" s="11">
        <v>1652.871004226552</v>
      </c>
      <c r="G14" s="11">
        <v>1490.0172604315871</v>
      </c>
      <c r="H14" s="11">
        <v>1249.0016939804204</v>
      </c>
      <c r="I14" s="11">
        <v>1542.8440748129331</v>
      </c>
      <c r="J14" s="11">
        <v>1666.0896072064047</v>
      </c>
      <c r="K14" s="11">
        <v>1873.8308681732101</v>
      </c>
      <c r="L14" s="11">
        <v>2219.8881541256997</v>
      </c>
      <c r="M14" s="11">
        <v>2423.958337270602</v>
      </c>
      <c r="N14" s="11">
        <v>2097.8399361349639</v>
      </c>
      <c r="O14" s="11">
        <v>2295.947558451393</v>
      </c>
      <c r="P14" s="11">
        <v>2319.6539865105706</v>
      </c>
      <c r="Q14" s="11">
        <v>2618.4773435315701</v>
      </c>
      <c r="R14" s="11">
        <v>2717.6312519060466</v>
      </c>
      <c r="S14" s="11">
        <v>1893.744760831428</v>
      </c>
      <c r="T14" s="11">
        <v>1685.9452775188356</v>
      </c>
      <c r="U14" s="11">
        <v>1333.2012140280835</v>
      </c>
      <c r="V14" s="11">
        <v>702.78384031336009</v>
      </c>
      <c r="W14" s="11">
        <v>212.21792836665719</v>
      </c>
      <c r="X14" s="11">
        <v>39.352898081124948</v>
      </c>
      <c r="Y14" s="11">
        <f t="shared" si="177"/>
        <v>34987.999999999993</v>
      </c>
      <c r="Z14" s="11">
        <f t="shared" si="179"/>
        <v>1916.6620807170439</v>
      </c>
      <c r="AA14" s="11">
        <f t="shared" si="180"/>
        <v>959.15185377693831</v>
      </c>
      <c r="AB14" s="11">
        <f t="shared" si="178"/>
        <v>11203.354514577104</v>
      </c>
      <c r="AC14" s="11">
        <f t="shared" si="181"/>
        <v>5867.2459191394901</v>
      </c>
      <c r="AD14" s="15">
        <f t="shared" si="182"/>
        <v>0.32020562806039515</v>
      </c>
      <c r="AE14" s="15">
        <f t="shared" si="183"/>
        <v>0.16769309246425892</v>
      </c>
      <c r="AF14" s="11">
        <f t="shared" si="184"/>
        <v>6331.7662441729681</v>
      </c>
      <c r="AI14" s="43"/>
      <c r="AJ14" s="1" t="s">
        <v>22</v>
      </c>
      <c r="AK14" s="8">
        <f>VLOOKUP(AK12&amp;"_2",A:D,4,FALSE)/VLOOKUP(AK12&amp;"_2",A:AF,32,FALSE)</f>
        <v>0.23093615253158256</v>
      </c>
      <c r="AL14" s="63"/>
      <c r="BH14" s="7" t="str">
        <f t="shared" si="19"/>
        <v>2040_3</v>
      </c>
      <c r="BI14" s="30">
        <f>BI13</f>
        <v>2040</v>
      </c>
      <c r="BJ14" s="5" t="s">
        <v>23</v>
      </c>
      <c r="BK14" s="16">
        <f>BK12+BK13</f>
        <v>884.75002155680659</v>
      </c>
      <c r="BL14" s="16">
        <f t="shared" ref="BL14" si="185">BL12+BL13</f>
        <v>907.17284214018184</v>
      </c>
      <c r="BM14" s="16">
        <f t="shared" ref="BM14" si="186">BM12+BM13</f>
        <v>924.52734497357483</v>
      </c>
      <c r="BN14" s="16">
        <f t="shared" ref="BN14" si="187">BN12+BN13</f>
        <v>893.27767132957092</v>
      </c>
      <c r="BO14" s="16">
        <f t="shared" ref="BO14" si="188">BO12+BO13</f>
        <v>801.15918728543329</v>
      </c>
      <c r="BP14" s="16">
        <f t="shared" ref="BP14" si="189">BP12+BP13</f>
        <v>1140.4608622744802</v>
      </c>
      <c r="BQ14" s="16">
        <f t="shared" ref="BQ14" si="190">BQ12+BQ13</f>
        <v>1205.3354540720404</v>
      </c>
      <c r="BR14" s="16">
        <f t="shared" ref="BR14" si="191">BR12+BR13</f>
        <v>1182.5103466214603</v>
      </c>
      <c r="BS14" s="16">
        <f t="shared" ref="BS14" si="192">BS12+BS13</f>
        <v>1234.5849905588179</v>
      </c>
      <c r="BT14" s="16">
        <f t="shared" ref="BT14" si="193">BT12+BT13</f>
        <v>1248.0314259956856</v>
      </c>
      <c r="BU14" s="16">
        <f t="shared" ref="BU14" si="194">BU12+BU13</f>
        <v>1404.6248363813834</v>
      </c>
      <c r="BV14" s="16">
        <f t="shared" ref="BV14" si="195">BV12+BV13</f>
        <v>1705.770898883188</v>
      </c>
      <c r="BW14" s="16">
        <f t="shared" ref="BW14" si="196">BW12+BW13</f>
        <v>2023.9389000152155</v>
      </c>
      <c r="BX14" s="16">
        <f t="shared" ref="BX14" si="197">BX12+BX13</f>
        <v>2139.7327435052584</v>
      </c>
      <c r="BY14" s="16">
        <f t="shared" ref="BY14" si="198">BY12+BY13</f>
        <v>1758.0406497250215</v>
      </c>
      <c r="BZ14" s="16">
        <f t="shared" ref="BZ14" si="199">BZ12+BZ13</f>
        <v>1753.7647003187176</v>
      </c>
      <c r="CA14" s="16">
        <f t="shared" ref="CA14" si="200">CA12+CA13</f>
        <v>1555.1143661631086</v>
      </c>
      <c r="CB14" s="16">
        <f t="shared" ref="CB14" si="201">CB12+CB13</f>
        <v>1330.8706397143696</v>
      </c>
      <c r="CC14" s="16">
        <f t="shared" ref="CC14" si="202">CC12+CC13</f>
        <v>850.49533859250391</v>
      </c>
      <c r="CD14" s="16">
        <f t="shared" ref="CD14" si="203">CD12+CD13</f>
        <v>242.36686537867644</v>
      </c>
      <c r="CE14" s="16">
        <f t="shared" ref="CE14" si="204">CE12+CE13</f>
        <v>52.295672287093581</v>
      </c>
      <c r="CF14" s="11">
        <f t="shared" si="2"/>
        <v>25238.825757772585</v>
      </c>
      <c r="CG14" s="11">
        <f t="shared" si="20"/>
        <v>1099.020112268254</v>
      </c>
      <c r="CH14" s="11">
        <f t="shared" si="21"/>
        <v>548.46647225534412</v>
      </c>
      <c r="CI14" s="11">
        <f t="shared" si="3"/>
        <v>9682.6809756847488</v>
      </c>
      <c r="CJ14" s="11">
        <f t="shared" si="22"/>
        <v>5784.9075824544698</v>
      </c>
      <c r="CK14" s="15">
        <f t="shared" si="23"/>
        <v>0.38364229257784926</v>
      </c>
      <c r="CL14" s="15">
        <f t="shared" si="24"/>
        <v>0.22920668488996329</v>
      </c>
      <c r="CM14" s="11">
        <f t="shared" si="25"/>
        <v>4329.4658502534139</v>
      </c>
      <c r="CO14" s="7" t="str">
        <f t="shared" si="26"/>
        <v>2040_3</v>
      </c>
      <c r="CP14" s="30">
        <f>CP13</f>
        <v>2040</v>
      </c>
      <c r="CQ14" s="5" t="s">
        <v>23</v>
      </c>
      <c r="CR14" s="16">
        <f>CR12+CR13</f>
        <v>890.02861234349746</v>
      </c>
      <c r="CS14" s="16">
        <f t="shared" ref="CS14" si="205">CS12+CS13</f>
        <v>911.75540895986137</v>
      </c>
      <c r="CT14" s="16">
        <f t="shared" ref="CT14" si="206">CT12+CT13</f>
        <v>929.88076843583269</v>
      </c>
      <c r="CU14" s="16">
        <f t="shared" ref="CU14" si="207">CU12+CU13</f>
        <v>896.46852492137077</v>
      </c>
      <c r="CV14" s="16">
        <f t="shared" ref="CV14" si="208">CV12+CV13</f>
        <v>802.45698970244905</v>
      </c>
      <c r="CW14" s="16">
        <f t="shared" ref="CW14" si="209">CW12+CW13</f>
        <v>1146.0145897123507</v>
      </c>
      <c r="CX14" s="16">
        <f t="shared" ref="CX14" si="210">CX12+CX13</f>
        <v>1209.0773094751087</v>
      </c>
      <c r="CY14" s="16">
        <f t="shared" ref="CY14" si="211">CY12+CY13</f>
        <v>1185.9676128238766</v>
      </c>
      <c r="CZ14" s="16">
        <f t="shared" ref="CZ14" si="212">CZ12+CZ13</f>
        <v>1238.8859255959869</v>
      </c>
      <c r="DA14" s="16">
        <f t="shared" ref="DA14" si="213">DA12+DA13</f>
        <v>1248.9884603555258</v>
      </c>
      <c r="DB14" s="16">
        <f t="shared" ref="DB14" si="214">DB12+DB13</f>
        <v>1405.5712669203097</v>
      </c>
      <c r="DC14" s="16">
        <f t="shared" ref="DC14" si="215">DC12+DC13</f>
        <v>1706.7050936958958</v>
      </c>
      <c r="DD14" s="16">
        <f t="shared" ref="DD14" si="216">DD12+DD13</f>
        <v>2023.9389000152155</v>
      </c>
      <c r="DE14" s="16">
        <f t="shared" ref="DE14" si="217">DE12+DE13</f>
        <v>2139.7327435052584</v>
      </c>
      <c r="DF14" s="16">
        <f t="shared" ref="DF14" si="218">DF12+DF13</f>
        <v>1758.0406497250215</v>
      </c>
      <c r="DG14" s="16">
        <f t="shared" ref="DG14" si="219">DG12+DG13</f>
        <v>1753.7647003187176</v>
      </c>
      <c r="DH14" s="16">
        <f t="shared" ref="DH14" si="220">DH12+DH13</f>
        <v>1555.1143661631086</v>
      </c>
      <c r="DI14" s="16">
        <f t="shared" ref="DI14" si="221">DI12+DI13</f>
        <v>1330.8706397143696</v>
      </c>
      <c r="DJ14" s="16">
        <f t="shared" ref="DJ14" si="222">DJ12+DJ13</f>
        <v>850.49533859250391</v>
      </c>
      <c r="DK14" s="16">
        <f t="shared" ref="DK14" si="223">DK12+DK13</f>
        <v>242.36686537867644</v>
      </c>
      <c r="DL14" s="16">
        <f t="shared" ref="DL14" si="224">DL12+DL13</f>
        <v>52.295672287093581</v>
      </c>
      <c r="DM14" s="11">
        <f t="shared" si="69"/>
        <v>25278.420438642028</v>
      </c>
      <c r="DN14" s="11">
        <f t="shared" si="34"/>
        <v>1104.9817064374165</v>
      </c>
      <c r="DO14" s="11">
        <f t="shared" si="35"/>
        <v>551.24601235860723</v>
      </c>
      <c r="DP14" s="11">
        <f t="shared" si="6"/>
        <v>9682.6809756847488</v>
      </c>
      <c r="DQ14" s="11">
        <f t="shared" si="36"/>
        <v>5784.9075824544698</v>
      </c>
      <c r="DR14" s="15">
        <f t="shared" si="37"/>
        <v>0.38304137709820085</v>
      </c>
      <c r="DS14" s="15">
        <f t="shared" si="38"/>
        <v>0.22884766856758706</v>
      </c>
      <c r="DT14" s="11">
        <f t="shared" si="70"/>
        <v>4343.5165017137842</v>
      </c>
      <c r="DX14" s="30">
        <f>DX13</f>
        <v>2040</v>
      </c>
      <c r="DY14" s="5" t="s">
        <v>23</v>
      </c>
      <c r="DZ14" s="16">
        <f>DZ12+DZ13</f>
        <v>1815.8346652876924</v>
      </c>
      <c r="EA14" s="16">
        <f t="shared" ref="EA14" si="225">EA12+EA13</f>
        <v>1768.7610512587589</v>
      </c>
      <c r="EB14" s="16">
        <f t="shared" ref="EB14" si="226">EB12+EB13</f>
        <v>1615.2104601060209</v>
      </c>
      <c r="EC14" s="16">
        <f t="shared" ref="EC14" si="227">EC12+EC13</f>
        <v>893.27767132957092</v>
      </c>
      <c r="ED14" s="16">
        <f t="shared" ref="ED14" si="228">ED12+ED13</f>
        <v>801.15918728543329</v>
      </c>
      <c r="EE14" s="16">
        <f t="shared" ref="EE14" si="229">EE12+EE13</f>
        <v>1826.4608622744802</v>
      </c>
      <c r="EF14" s="16">
        <f t="shared" ref="EF14" si="230">EF12+EF13</f>
        <v>2533.0636556982354</v>
      </c>
      <c r="EG14" s="16">
        <f t="shared" ref="EG14" si="231">EG12+EG13</f>
        <v>3095.2463070314607</v>
      </c>
      <c r="EH14" s="16">
        <f t="shared" ref="EH14" si="232">EH12+EH13</f>
        <v>3060.8074489950341</v>
      </c>
      <c r="EI14" s="16">
        <f t="shared" ref="EI14" si="233">EI12+EI13</f>
        <v>2481.3847520618856</v>
      </c>
      <c r="EJ14" s="16">
        <f t="shared" ref="EJ14" si="234">EJ12+EJ13</f>
        <v>2030.6153663622538</v>
      </c>
      <c r="EK14" s="16">
        <f t="shared" ref="EK14" si="235">EK12+EK13</f>
        <v>1705.770898883188</v>
      </c>
      <c r="EL14" s="16">
        <f t="shared" ref="EL14" si="236">EL12+EL13</f>
        <v>2023.9389000152155</v>
      </c>
      <c r="EM14" s="16">
        <f t="shared" ref="EM14" si="237">EM12+EM13</f>
        <v>2139.7327435052584</v>
      </c>
      <c r="EN14" s="16">
        <f t="shared" ref="EN14" si="238">EN12+EN13</f>
        <v>1758.0406497250215</v>
      </c>
      <c r="EO14" s="16">
        <f t="shared" ref="EO14" si="239">EO12+EO13</f>
        <v>1753.7647003187176</v>
      </c>
      <c r="EP14" s="16">
        <f t="shared" ref="EP14" si="240">EP12+EP13</f>
        <v>1555.1143661631086</v>
      </c>
      <c r="EQ14" s="16">
        <f t="shared" ref="EQ14" si="241">EQ12+EQ13</f>
        <v>1330.8706397143696</v>
      </c>
      <c r="ER14" s="16">
        <f t="shared" ref="ER14" si="242">ER12+ER13</f>
        <v>850.49533859250391</v>
      </c>
      <c r="ES14" s="16">
        <f t="shared" ref="ES14" si="243">ES12+ES13</f>
        <v>242.36686537867644</v>
      </c>
      <c r="ET14" s="16">
        <f t="shared" ref="ET14" si="244">ET12+ET13</f>
        <v>52.295672287093581</v>
      </c>
      <c r="EU14" s="11">
        <f t="shared" si="71"/>
        <v>35334.212202273971</v>
      </c>
      <c r="EV14" s="11">
        <f t="shared" si="41"/>
        <v>2030.3829068188679</v>
      </c>
      <c r="EW14" s="11">
        <f t="shared" si="42"/>
        <v>824.73971830832261</v>
      </c>
      <c r="EX14" s="11">
        <f t="shared" si="10"/>
        <v>9682.6809756847488</v>
      </c>
      <c r="EY14" s="11">
        <f t="shared" si="43"/>
        <v>5784.9075824544698</v>
      </c>
      <c r="EZ14" s="15">
        <f t="shared" si="44"/>
        <v>0.27403132466220964</v>
      </c>
      <c r="FA14" s="15">
        <f t="shared" si="45"/>
        <v>0.16371972719635661</v>
      </c>
      <c r="FB14" s="11">
        <f t="shared" si="72"/>
        <v>8255.9300122896093</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404.6185357464052</v>
      </c>
      <c r="BL15" s="9">
        <f>IF(管理者入力シート!$B$14=1,BK12*管理者用人口入力シート!AM$3,IF(管理者入力シート!$B$14=2,BK12*管理者用人口入力シート!AM$7))</f>
        <v>410.61926345025734</v>
      </c>
      <c r="BM15" s="9">
        <f>IF(管理者入力シート!$B$14=1,BL12*管理者用人口入力シート!AN$3,IF(管理者入力シート!$B$14=2,BL12*管理者用人口入力シート!AN$7))</f>
        <v>430.8428217992747</v>
      </c>
      <c r="BN15" s="9">
        <f>IF(管理者入力シート!$B$14=1,BM12*管理者用人口入力シート!AO$3,IF(管理者入力シート!$B$14=2,BM12*管理者用人口入力シート!AO$7))</f>
        <v>386.19361935851254</v>
      </c>
      <c r="BO15" s="9">
        <f>IF(管理者入力シート!$B$14=1,BN12*管理者用人口入力シート!AP$3,IF(管理者入力シート!$B$14=2,BN12*管理者用人口入力シート!AP$7))</f>
        <v>357.35063741481639</v>
      </c>
      <c r="BP15" s="9">
        <f>IF(管理者入力シート!$B$14=1,BO12*管理者用人口入力シート!AQ$3,IF(管理者入力シート!$B$14=2,BO12*管理者用人口入力シート!AQ$7))</f>
        <v>534.28641070645403</v>
      </c>
      <c r="BQ15" s="9">
        <f>IF(管理者入力シート!$B$14=1,BP12*管理者用人口入力シート!AR$3,IF(管理者入力シート!$B$14=2,BP12*管理者用人口入力シート!AR$7))</f>
        <v>624.98870087288435</v>
      </c>
      <c r="BR15" s="9">
        <f>IF(管理者入力シート!$B$14=1,BQ12*管理者用人口入力シート!AS$3,IF(管理者入力シート!$B$14=2,BQ12*管理者用人口入力シート!AS$7))</f>
        <v>631.03468727830523</v>
      </c>
      <c r="BS15" s="9">
        <f>IF(管理者入力シート!$B$14=1,BR12*管理者用人口入力シート!AT$3,IF(管理者入力シート!$B$14=2,BR12*管理者用人口入力シート!AT$7))</f>
        <v>648.21860847229925</v>
      </c>
      <c r="BT15" s="9">
        <f>IF(管理者入力シート!$B$14=1,BS12*管理者用人口入力シート!AU$3,IF(管理者入力シート!$B$14=2,BS12*管理者用人口入力シート!AU$7))</f>
        <v>698.76481610523183</v>
      </c>
      <c r="BU15" s="9">
        <f>IF(管理者入力シート!$B$14=1,BT12*管理者用人口入力シート!AV$3,IF(管理者入力シート!$B$14=2,BT12*管理者用人口入力シート!AV$7))</f>
        <v>705.80777474115393</v>
      </c>
      <c r="BV15" s="9">
        <f>IF(管理者入力シート!$B$14=1,BU12*管理者用人口入力シート!AW$3,IF(管理者入力シート!$B$14=2,BU12*管理者用人口入力シート!AW$7))</f>
        <v>706.67384938017995</v>
      </c>
      <c r="BW15" s="9">
        <f>IF(管理者入力シート!$B$14=1,BV12*管理者用人口入力シート!AX$3,IF(管理者入力シート!$B$14=2,BV12*管理者用人口入力シート!AX$7))</f>
        <v>824.87671623792323</v>
      </c>
      <c r="BX15" s="9">
        <f>IF(管理者入力シート!$B$14=1,BW12*管理者用人口入力シート!AY$3,IF(管理者入力シート!$B$14=2,BW12*管理者用人口入力シート!AY$7))</f>
        <v>943.31992887998922</v>
      </c>
      <c r="BY15" s="9">
        <f>IF(管理者入力シート!$B$14=1,BX12*管理者用人口入力シート!AZ$3,IF(管理者入力シート!$B$14=2,BX12*管理者用人口入力シート!AZ$7))</f>
        <v>965.2692525075463</v>
      </c>
      <c r="BZ15" s="9">
        <f>IF(管理者入力シート!$B$14=1,BY12*管理者用人口入力シート!BA$3,IF(管理者入力シート!$B$14=2,BY12*管理者用人口入力シート!BA$7))</f>
        <v>716.99287984464809</v>
      </c>
      <c r="CA15" s="9">
        <f>IF(管理者入力シート!$B$14=1,BZ12*管理者用人口入力シート!BB$3,IF(管理者入力シート!$B$14=2,BZ12*管理者用人口入力シート!BB$7))</f>
        <v>597.60209628104576</v>
      </c>
      <c r="CB15" s="9">
        <f>IF(管理者入力シート!$B$14=1,CA12*管理者用人口入力シート!BC$3,IF(管理者入力シート!$B$14=2,CA12*管理者用人口入力シート!BC$7))</f>
        <v>403.44461896614536</v>
      </c>
      <c r="CC15" s="9">
        <f>IF(管理者入力シート!$B$14=1,CB12*管理者用人口入力シート!BD$3,IF(管理者入力シート!$B$14=2,CB12*管理者用人口入力シート!BD$7))</f>
        <v>232.68427321001576</v>
      </c>
      <c r="CD15" s="9">
        <f>IF(管理者入力シート!$B$14=1,CC12*管理者用人口入力シート!BE$3,IF(管理者入力シート!$B$14=2,CC12*管理者用人口入力シート!BE$7))</f>
        <v>74.619574649869179</v>
      </c>
      <c r="CE15" s="9">
        <f>IF(管理者入力シート!$B$14=1,CD12*管理者用人口入力シート!BF$3,IF(管理者入力シート!$B$14=2,CD12*管理者用人口入力シート!BF$7))</f>
        <v>4.6809227262922724</v>
      </c>
      <c r="CF15" s="9">
        <f t="shared" ref="CF15:CF20" si="252">SUM(BK15:CE15)</f>
        <v>11302.889988629251</v>
      </c>
      <c r="CG15" s="9">
        <f t="shared" ref="CG15:CG20" si="253">BL15*3/5+BM15*3/5</f>
        <v>504.87725114971926</v>
      </c>
      <c r="CH15" s="9">
        <f t="shared" ref="CH15:CH20" si="254">BM15*2/5+BN15*1/5</f>
        <v>249.5758525914124</v>
      </c>
      <c r="CI15" s="9">
        <f t="shared" ref="CI15:CI20" si="255">SUM(BX15:CE15)</f>
        <v>3938.6135470655522</v>
      </c>
      <c r="CJ15" s="9">
        <f t="shared" ref="CJ15:CJ20" si="256">SUM(BZ15:CE15)</f>
        <v>2030.0243656780165</v>
      </c>
      <c r="CK15" s="13">
        <f t="shared" ref="CK15:CK20" si="257">CI15/CF15</f>
        <v>0.3484607521640759</v>
      </c>
      <c r="CL15" s="13">
        <f t="shared" ref="CL15:CL20" si="258">CJ15/CF15</f>
        <v>0.17960224046418469</v>
      </c>
      <c r="CM15" s="9">
        <f t="shared" ref="CM15:CM20" si="259">SUM(BO15:BR15)</f>
        <v>2147.6604362724602</v>
      </c>
      <c r="CO15" s="7" t="str">
        <f t="shared" si="26"/>
        <v>2045_1</v>
      </c>
      <c r="CP15" s="28">
        <f>管理者入力シート!B12</f>
        <v>2045</v>
      </c>
      <c r="CQ15" s="3" t="s">
        <v>21</v>
      </c>
      <c r="CR15" s="9">
        <f>DT16*$AK$13+将来予測シート②!$G17</f>
        <v>407.58686832446864</v>
      </c>
      <c r="CS15" s="9">
        <f>IF(管理者入力シート!$B$14=1,CR12*管理者用人口入力シート!AM$3,IF(管理者入力シート!$B$14=2,CR12*管理者用人口入力シート!AM$7))+将来予測シート②!$G18</f>
        <v>413.0479828722174</v>
      </c>
      <c r="CT15" s="9">
        <f>IF(管理者入力シート!$B$14=1,CS12*管理者用人口入力シート!AN$3,IF(管理者入力シート!$B$14=2,CS12*管理者用人口入力シート!AN$7))+将来予測シート②!$G19</f>
        <v>433.99880843746081</v>
      </c>
      <c r="CU15" s="9">
        <f>IF(管理者入力シート!$B$14=1,CT12*管理者用人口入力シート!AO$3,IF(管理者入力シート!$B$14=2,CT12*管理者用人口入力シート!AO$7))+将来予測シート②!$G20</f>
        <v>388.40890276732813</v>
      </c>
      <c r="CV15" s="9">
        <f>IF(管理者入力シート!$B$14=1,CU12*管理者用人口入力シート!AP$3,IF(管理者入力シート!$B$14=2,CU12*管理者用人口入力シート!AP$7))+将来予測シート②!$G21</f>
        <v>358.60966737508051</v>
      </c>
      <c r="CW15" s="9">
        <f>IF(管理者入力シート!$B$14=1,CV12*管理者用人口入力シート!AQ$3,IF(管理者入力シート!$B$14=2,CV12*管理者用人口入力シート!AQ$7))+将来予測シート②!$G22</f>
        <v>537.14793093861931</v>
      </c>
      <c r="CX15" s="9">
        <f>IF(管理者入力シート!$B$14=1,CW12*管理者用人口入力シート!AR$3,IF(管理者入力シート!$B$14=2,CW12*管理者用人口入力シート!AR$7))+将来予測シート②!$G23</f>
        <v>627.65866150147906</v>
      </c>
      <c r="CY15" s="9">
        <f>IF(管理者入力シート!$B$14=1,CX12*管理者用人口入力シート!AS$3,IF(管理者入力シート!$B$14=2,CX12*管理者用人口入力シート!AS$7))+将来予測シート②!$G24</f>
        <v>632.74718658677784</v>
      </c>
      <c r="CZ15" s="9">
        <f>IF(管理者入力シート!$B$14=1,CY12*管理者用人口入力シート!AT$3,IF(管理者入力シート!$B$14=2,CY12*管理者用人口入力シート!AT$7))+将来予測シート②!$G25</f>
        <v>649.84869517988125</v>
      </c>
      <c r="DA15" s="9">
        <f>IF(管理者入力シート!$B$14=1,CZ12*管理者用人口入力シート!AU$3,IF(管理者入力シート!$B$14=2,CZ12*管理者用人口入力シート!AU$7))+将来予測シート②!$G26</f>
        <v>700.39615641630564</v>
      </c>
      <c r="DB15" s="9">
        <f>IF(管理者入力シート!$B$14=1,DA12*管理者用人口入力シート!AV$3,IF(管理者入力シート!$B$14=2,DA12*管理者用人口入力シート!AV$7))+将来予測シート②!$G27</f>
        <v>705.80777474115393</v>
      </c>
      <c r="DC15" s="9">
        <f>IF(管理者入力シート!$B$14=1,DB12*管理者用人口入力シート!AW$3,IF(管理者入力シート!$B$14=2,DB12*管理者用人口入力シート!AW$7))+将来予測シート②!$G28</f>
        <v>706.67384938017995</v>
      </c>
      <c r="DD15" s="9">
        <f>IF(管理者入力シート!$B$14=1,DC12*管理者用人口入力シート!AX$3,IF(管理者入力シート!$B$14=2,DC12*管理者用人口入力シート!AX$7))+将来予測シート②!$G29</f>
        <v>824.87671623792323</v>
      </c>
      <c r="DE15" s="9">
        <f>IF(管理者入力シート!$B$14=1,DD12*管理者用人口入力シート!AY$3,IF(管理者入力シート!$B$14=2,DD12*管理者用人口入力シート!AY$7))</f>
        <v>943.31992887998922</v>
      </c>
      <c r="DF15" s="9">
        <f>IF(管理者入力シート!$B$14=1,DE12*管理者用人口入力シート!AZ$3,IF(管理者入力シート!$B$14=2,DE12*管理者用人口入力シート!AZ$7))</f>
        <v>965.2692525075463</v>
      </c>
      <c r="DG15" s="9">
        <f>IF(管理者入力シート!$B$14=1,DF12*管理者用人口入力シート!BA$3,IF(管理者入力シート!$B$14=2,DF12*管理者用人口入力シート!BA$7))</f>
        <v>716.99287984464809</v>
      </c>
      <c r="DH15" s="9">
        <f>IF(管理者入力シート!$B$14=1,DG12*管理者用人口入力シート!BB$3,IF(管理者入力シート!$B$14=2,DG12*管理者用人口入力シート!BB$7))</f>
        <v>597.60209628104576</v>
      </c>
      <c r="DI15" s="9">
        <f>IF(管理者入力シート!$B$14=1,DH12*管理者用人口入力シート!BC$3,IF(管理者入力シート!$B$14=2,DH12*管理者用人口入力シート!BC$7))</f>
        <v>403.44461896614536</v>
      </c>
      <c r="DJ15" s="9">
        <f>IF(管理者入力シート!$B$14=1,DI12*管理者用人口入力シート!BD$3,IF(管理者入力シート!$B$14=2,DI12*管理者用人口入力シート!BD$7))</f>
        <v>232.68427321001576</v>
      </c>
      <c r="DK15" s="9">
        <f>IF(管理者入力シート!$B$14=1,DJ12*管理者用人口入力シート!BE$3,IF(管理者入力シート!$B$14=2,DJ12*管理者用人口入力シート!BE$7))</f>
        <v>74.619574649869179</v>
      </c>
      <c r="DL15" s="9">
        <f>IF(管理者入力シート!$B$14=1,DK12*管理者用人口入力シート!BF$3,IF(管理者入力シート!$B$14=2,DK12*管理者用人口入力シート!BF$7))</f>
        <v>4.6809227262922724</v>
      </c>
      <c r="DM15" s="9">
        <f t="shared" ref="DM15:DM20" si="260">SUM(CR15:DL15)</f>
        <v>11325.422747824427</v>
      </c>
      <c r="DN15" s="9">
        <f t="shared" ref="DN15:DN20" si="261">CS15*3/5+CT15*3/5</f>
        <v>508.22807478580694</v>
      </c>
      <c r="DO15" s="9">
        <f t="shared" ref="DO15:DO20" si="262">CT15*2/5+CU15*1/5</f>
        <v>251.28130392844997</v>
      </c>
      <c r="DP15" s="9">
        <f t="shared" ref="DP15:DP20" si="263">SUM(DE15:DL15)</f>
        <v>3938.6135470655522</v>
      </c>
      <c r="DQ15" s="9">
        <f t="shared" ref="DQ15:DQ20" si="264">SUM(DG15:DL15)</f>
        <v>2030.0243656780165</v>
      </c>
      <c r="DR15" s="13">
        <f t="shared" ref="DR15:DR20" si="265">DP15/DM15</f>
        <v>0.34776746394055319</v>
      </c>
      <c r="DS15" s="13">
        <f t="shared" ref="DS15:DS20" si="266">DQ15/DM15</f>
        <v>0.17924490863424741</v>
      </c>
      <c r="DT15" s="9">
        <f t="shared" ref="DT15:DT20" si="267">SUM(CV15:CY15)</f>
        <v>2156.1634464019567</v>
      </c>
      <c r="DV15" s="62" t="s">
        <v>404</v>
      </c>
      <c r="DW15" s="211">
        <f>AK13+AK14</f>
        <v>0.47287975094908635</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386.21004440461888</v>
      </c>
      <c r="BL16" s="10">
        <f>IF(管理者入力シート!$B$14=1,BK13*管理者用人口入力シート!AM$4,IF(管理者入力シート!$B$14=2,BK13*管理者用人口入力シート!AM$8))</f>
        <v>408.09275346823722</v>
      </c>
      <c r="BM16" s="10">
        <f>IF(管理者入力シート!$B$14=1,BL13*管理者用人口入力シート!AN$4,IF(管理者入力シート!$B$14=2,BL13*管理者用人口入力シート!AN$8))</f>
        <v>426.70599676126818</v>
      </c>
      <c r="BN16" s="10">
        <f>IF(管理者入力シート!$B$14=1,BM13*管理者用人口入力シート!AO$4,IF(管理者入力シート!$B$14=2,BM13*管理者用人口入力シート!AO$8))</f>
        <v>400.19333306650077</v>
      </c>
      <c r="BO16" s="10">
        <f>IF(管理者入力シート!$B$14=1,BN13*管理者用人口入力シート!AP$4,IF(管理者入力シート!$B$14=2,BN13*管理者用人口入力シート!AP$8))</f>
        <v>324.26590012730907</v>
      </c>
      <c r="BP16" s="10">
        <f>IF(管理者入力シート!$B$14=1,BO13*管理者用人口入力シート!AQ$4,IF(管理者入力シート!$B$14=2,BO13*管理者用人口入力シート!AQ$8))</f>
        <v>425.16220215047537</v>
      </c>
      <c r="BQ16" s="10">
        <f>IF(管理者入力シート!$B$14=1,BP13*管理者用人口入力シート!AR$4,IF(管理者入力シート!$B$14=2,BP13*管理者用人口入力シート!AR$8))</f>
        <v>441.39171035975937</v>
      </c>
      <c r="BR16" s="10">
        <f>IF(管理者入力シート!$B$14=1,BQ13*管理者用人口入力シート!AS$4,IF(管理者入力シート!$B$14=2,BQ13*管理者用人口入力シート!AS$8))</f>
        <v>481.54737704186897</v>
      </c>
      <c r="BS16" s="10">
        <f>IF(管理者入力シート!$B$14=1,BR13*管理者用人口入力シート!AT$4,IF(管理者入力シート!$B$14=2,BR13*管理者用人口入力シート!AT$8))</f>
        <v>480.27231331750443</v>
      </c>
      <c r="BT16" s="10">
        <f>IF(管理者入力シート!$B$14=1,BS13*管理者用人口入力シート!AU$4,IF(管理者入力シート!$B$14=2,BS13*管理者用人口入力シート!AU$8))</f>
        <v>513.31221240246646</v>
      </c>
      <c r="BU16" s="10">
        <f>IF(管理者入力シート!$B$14=1,BT13*管理者用人口入力シート!AV$4,IF(管理者入力シート!$B$14=2,BT13*管理者用人口入力シート!AV$8))</f>
        <v>510.46292488121219</v>
      </c>
      <c r="BV16" s="10">
        <f>IF(管理者入力シート!$B$14=1,BU13*管理者用人口入力シート!AW$4,IF(管理者入力シート!$B$14=2,BU13*管理者用人口入力シート!AW$8))</f>
        <v>694.22082231118713</v>
      </c>
      <c r="BW16" s="10">
        <f>IF(管理者入力シート!$B$14=1,BV13*管理者用人口入力シート!AX$4,IF(管理者入力シート!$B$14=2,BV13*管理者用人口入力シート!AX$8))</f>
        <v>806.45228037246579</v>
      </c>
      <c r="BX16" s="10">
        <f>IF(管理者入力シート!$B$14=1,BW13*管理者用人口入力シート!AY$4,IF(管理者入力シート!$B$14=2,BW13*管理者用人口入力シート!AY$8))</f>
        <v>974.7812639145169</v>
      </c>
      <c r="BY16" s="10">
        <f>IF(管理者入力シート!$B$14=1,BX13*管理者用人口入力シート!AZ$4,IF(管理者入力シート!$B$14=2,BX13*管理者用人口入力シート!AZ$8))</f>
        <v>1015.3284077111695</v>
      </c>
      <c r="BZ16" s="10">
        <f>IF(管理者入力シート!$B$14=1,BY13*管理者用人口入力シート!BA$4,IF(管理者入力シート!$B$14=2,BY13*管理者用人口入力シート!BA$8))</f>
        <v>875.99681350445576</v>
      </c>
      <c r="CA16" s="10">
        <f>IF(管理者入力シート!$B$14=1,BZ13*管理者用人口入力シート!BB$4,IF(管理者入力シート!$B$14=2,BZ13*管理者用人口入力シート!BB$8))</f>
        <v>878.45136843354658</v>
      </c>
      <c r="CB16" s="10">
        <f>IF(管理者入力シート!$B$14=1,CA13*管理者用人口入力シート!BC$4,IF(管理者入力シート!$B$14=2,CA13*管理者用人口入力シート!BC$8))</f>
        <v>713.05229606502155</v>
      </c>
      <c r="CC16" s="10">
        <f>IF(管理者入力シート!$B$14=1,CB13*管理者用人口入力シート!BD$4,IF(管理者入力シート!$B$14=2,CB13*管理者用人口入力シート!BD$8))</f>
        <v>534.97416531301644</v>
      </c>
      <c r="CD16" s="10">
        <f>IF(管理者入力シート!$B$14=1,CC13*管理者用人口入力シート!BE$4,IF(管理者入力シート!$B$14=2,CC13*管理者用人口入力シート!BE$8))</f>
        <v>230.49739488859572</v>
      </c>
      <c r="CE16" s="10">
        <f>IF(管理者入力シート!$B$14=1,CD13*管理者用人口入力シート!BF$4,IF(管理者入力シート!$B$14=2,CD13*管理者用人口入力シート!BF$8))</f>
        <v>45.756192847464312</v>
      </c>
      <c r="CF16" s="10">
        <f t="shared" si="252"/>
        <v>11567.127773342663</v>
      </c>
      <c r="CG16" s="10">
        <f t="shared" si="253"/>
        <v>500.87925013770325</v>
      </c>
      <c r="CH16" s="10">
        <f t="shared" si="254"/>
        <v>250.72106531780742</v>
      </c>
      <c r="CI16" s="10">
        <f t="shared" si="255"/>
        <v>5268.8379026777866</v>
      </c>
      <c r="CJ16" s="10">
        <f t="shared" si="256"/>
        <v>3278.7282310521005</v>
      </c>
      <c r="CK16" s="14">
        <f t="shared" si="257"/>
        <v>0.45550096842711718</v>
      </c>
      <c r="CL16" s="14">
        <f t="shared" si="258"/>
        <v>0.28345223596545566</v>
      </c>
      <c r="CM16" s="10">
        <f t="shared" si="259"/>
        <v>1672.3671896794126</v>
      </c>
      <c r="CO16" s="7" t="str">
        <f t="shared" si="26"/>
        <v>2045_2</v>
      </c>
      <c r="CP16" s="29">
        <f>CP15</f>
        <v>2045</v>
      </c>
      <c r="CQ16" s="4" t="s">
        <v>22</v>
      </c>
      <c r="CR16" s="10">
        <f>DT16*$AK$14+将来予測シート②!$H17</f>
        <v>389.08882588697145</v>
      </c>
      <c r="CS16" s="10">
        <f>IF(管理者入力シート!$B$14=1,CR13*管理者用人口入力シート!AM$4,IF(管理者入力シート!$B$14=2,CR13*管理者用人口入力シート!AM$8))+将来予測シート②!$H18</f>
        <v>410.54949957093254</v>
      </c>
      <c r="CT16" s="10">
        <f>IF(管理者入力シート!$B$14=1,CS13*管理者用人口入力シート!AN$4,IF(管理者入力シート!$B$14=2,CS13*管理者用人口入力シート!AN$8))+将来予測シート②!$H19</f>
        <v>429.88183128817752</v>
      </c>
      <c r="CU16" s="10">
        <f>IF(管理者入力シート!$B$14=1,CT13*管理者用人口入力シート!AO$4,IF(管理者入力シート!$B$14=2,CT13*管理者用人口入力シート!AO$8))+将来予測シート②!$H20</f>
        <v>402.53254883471698</v>
      </c>
      <c r="CV16" s="10">
        <f>IF(管理者入力シート!$B$14=1,CU13*管理者用人口入力シート!AP$4,IF(管理者入力シート!$B$14=2,CU13*管理者用人口入力シート!AP$8))+将来予測シート②!$H21</f>
        <v>325.43948475311458</v>
      </c>
      <c r="CW16" s="10">
        <f>IF(管理者入力シート!$B$14=1,CV13*管理者用人口入力シート!AQ$4,IF(管理者入力シート!$B$14=2,CV13*管理者用人口入力シート!AQ$8))+将来予測シート②!$H22</f>
        <v>427.85440935618027</v>
      </c>
      <c r="CX16" s="10">
        <f>IF(管理者入力シート!$B$14=1,CW13*管理者用人口入力シート!AR$4,IF(管理者入力シート!$B$14=2,CW13*管理者用人口入力シート!AR$8))+将来予測シート②!$H23</f>
        <v>443.91665342454797</v>
      </c>
      <c r="CY16" s="10">
        <f>IF(管理者入力シート!$B$14=1,CX13*管理者用人口入力シート!AS$4,IF(管理者入力シート!$B$14=2,CX13*管理者用人口入力シート!AS$8))+将来予測シート②!$H24</f>
        <v>483.29214393581282</v>
      </c>
      <c r="CZ16" s="10">
        <f>IF(管理者入力シート!$B$14=1,CY13*管理者用人口入力シート!AT$4,IF(管理者入力シート!$B$14=2,CY13*管理者用人口入力シート!AT$8))+将来予測シート②!$H25</f>
        <v>482.94316164709147</v>
      </c>
      <c r="DA16" s="10">
        <f>IF(管理者入力シート!$B$14=1,CZ13*管理者用人口入力シート!AU$4,IF(管理者入力シート!$B$14=2,CZ13*管理者用人口入力シート!AU$8))+将来予測シート②!$H26</f>
        <v>515.86830602380303</v>
      </c>
      <c r="DB16" s="10">
        <f>IF(管理者入力シート!$B$14=1,DA13*管理者用人口入力シート!AV$4,IF(管理者入力シート!$B$14=2,DA13*管理者用人口入力シート!AV$8))+将来予測シート②!$H27</f>
        <v>511.40935542013858</v>
      </c>
      <c r="DC16" s="10">
        <f>IF(管理者入力シート!$B$14=1,DB13*管理者用人口入力シート!AW$4,IF(管理者入力シート!$B$14=2,DB13*管理者用人口入力シート!AW$8))+将来予測シート②!$H28</f>
        <v>695.15501712389482</v>
      </c>
      <c r="DD16" s="10">
        <f>IF(管理者入力シート!$B$14=1,DC13*管理者用人口入力シート!AX$4,IF(管理者入力シート!$B$14=2,DC13*管理者用人口入力シート!AX$8))+将来予測シート②!$H29</f>
        <v>807.35902267317101</v>
      </c>
      <c r="DE16" s="10">
        <f>IF(管理者入力シート!$B$14=1,DD13*管理者用人口入力シート!AY$4,IF(管理者入力シート!$B$14=2,DD13*管理者用人口入力シート!AY$8))</f>
        <v>974.7812639145169</v>
      </c>
      <c r="DF16" s="10">
        <f>IF(管理者入力シート!$B$14=1,DE13*管理者用人口入力シート!AZ$4,IF(管理者入力シート!$B$14=2,DE13*管理者用人口入力シート!AZ$8))</f>
        <v>1015.3284077111695</v>
      </c>
      <c r="DG16" s="10">
        <f>IF(管理者入力シート!$B$14=1,DF13*管理者用人口入力シート!BA$4,IF(管理者入力シート!$B$14=2,DF13*管理者用人口入力シート!BA$8))</f>
        <v>875.99681350445576</v>
      </c>
      <c r="DH16" s="10">
        <f>IF(管理者入力シート!$B$14=1,DG13*管理者用人口入力シート!BB$4,IF(管理者入力シート!$B$14=2,DG13*管理者用人口入力シート!BB$8))</f>
        <v>878.45136843354658</v>
      </c>
      <c r="DI16" s="10">
        <f>IF(管理者入力シート!$B$14=1,DH13*管理者用人口入力シート!BC$4,IF(管理者入力シート!$B$14=2,DH13*管理者用人口入力シート!BC$8))</f>
        <v>713.05229606502155</v>
      </c>
      <c r="DJ16" s="10">
        <f>IF(管理者入力シート!$B$14=1,DI13*管理者用人口入力シート!BD$4,IF(管理者入力シート!$B$14=2,DI13*管理者用人口入力シート!BD$8))</f>
        <v>534.97416531301644</v>
      </c>
      <c r="DK16" s="10">
        <f>IF(管理者入力シート!$B$14=1,DJ13*管理者用人口入力シート!BE$4,IF(管理者入力シート!$B$14=2,DJ13*管理者用人口入力シート!BE$8))</f>
        <v>230.49739488859572</v>
      </c>
      <c r="DL16" s="10">
        <f>IF(管理者入力シート!$B$14=1,DK13*管理者用人口入力シート!BF$4,IF(管理者入力シート!$B$14=2,DK13*管理者用人口入力シート!BF$8))</f>
        <v>45.756192847464312</v>
      </c>
      <c r="DM16" s="10">
        <f t="shared" si="260"/>
        <v>11594.128162616342</v>
      </c>
      <c r="DN16" s="10">
        <f t="shared" si="261"/>
        <v>504.25879851546603</v>
      </c>
      <c r="DO16" s="10">
        <f t="shared" si="262"/>
        <v>252.4592422822144</v>
      </c>
      <c r="DP16" s="10">
        <f t="shared" si="263"/>
        <v>5268.8379026777866</v>
      </c>
      <c r="DQ16" s="10">
        <f t="shared" si="264"/>
        <v>3278.7282310521005</v>
      </c>
      <c r="DR16" s="14">
        <f t="shared" si="265"/>
        <v>0.4544401984158174</v>
      </c>
      <c r="DS16" s="14">
        <f t="shared" si="266"/>
        <v>0.28279213279907539</v>
      </c>
      <c r="DT16" s="10">
        <f t="shared" si="267"/>
        <v>1680.5026914696557</v>
      </c>
      <c r="DV16" s="212" t="s">
        <v>406</v>
      </c>
      <c r="DW16" s="7">
        <f>IF(DW10&lt;0,ABS(DW10)/DW15,0)</f>
        <v>649.38673494957618</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790.82858015102408</v>
      </c>
      <c r="BL17" s="16">
        <f t="shared" ref="BL17:CE17" si="268">BL15+BL16</f>
        <v>818.71201691849456</v>
      </c>
      <c r="BM17" s="16">
        <f t="shared" si="268"/>
        <v>857.54881856054294</v>
      </c>
      <c r="BN17" s="16">
        <f t="shared" si="268"/>
        <v>786.38695242501331</v>
      </c>
      <c r="BO17" s="16">
        <f t="shared" si="268"/>
        <v>681.61653754212546</v>
      </c>
      <c r="BP17" s="16">
        <f t="shared" si="268"/>
        <v>959.44861285692946</v>
      </c>
      <c r="BQ17" s="16">
        <f t="shared" si="268"/>
        <v>1066.3804112326438</v>
      </c>
      <c r="BR17" s="16">
        <f t="shared" si="268"/>
        <v>1112.5820643201741</v>
      </c>
      <c r="BS17" s="16">
        <f t="shared" si="268"/>
        <v>1128.4909217898037</v>
      </c>
      <c r="BT17" s="16">
        <f t="shared" si="268"/>
        <v>1212.0770285076983</v>
      </c>
      <c r="BU17" s="16">
        <f t="shared" si="268"/>
        <v>1216.270699622366</v>
      </c>
      <c r="BV17" s="16">
        <f t="shared" si="268"/>
        <v>1400.894671691367</v>
      </c>
      <c r="BW17" s="16">
        <f t="shared" si="268"/>
        <v>1631.3289966103889</v>
      </c>
      <c r="BX17" s="16">
        <f t="shared" si="268"/>
        <v>1918.101192794506</v>
      </c>
      <c r="BY17" s="16">
        <f t="shared" si="268"/>
        <v>1980.5976602187156</v>
      </c>
      <c r="BZ17" s="16">
        <f t="shared" si="268"/>
        <v>1592.9896933491038</v>
      </c>
      <c r="CA17" s="16">
        <f t="shared" si="268"/>
        <v>1476.0534647145923</v>
      </c>
      <c r="CB17" s="16">
        <f t="shared" si="268"/>
        <v>1116.496915031167</v>
      </c>
      <c r="CC17" s="16">
        <f t="shared" si="268"/>
        <v>767.65843852303215</v>
      </c>
      <c r="CD17" s="16">
        <f t="shared" si="268"/>
        <v>305.1169695384649</v>
      </c>
      <c r="CE17" s="16">
        <f t="shared" si="268"/>
        <v>50.437115573756586</v>
      </c>
      <c r="CF17" s="11">
        <f t="shared" si="252"/>
        <v>22870.017761971903</v>
      </c>
      <c r="CG17" s="11">
        <f t="shared" si="253"/>
        <v>1005.7565012874226</v>
      </c>
      <c r="CH17" s="11">
        <f t="shared" si="254"/>
        <v>500.29691790921981</v>
      </c>
      <c r="CI17" s="11">
        <f t="shared" si="255"/>
        <v>9207.4514497433393</v>
      </c>
      <c r="CJ17" s="11">
        <f t="shared" si="256"/>
        <v>5308.7525967301162</v>
      </c>
      <c r="CK17" s="15">
        <f t="shared" si="257"/>
        <v>0.40259922600731085</v>
      </c>
      <c r="CL17" s="15">
        <f t="shared" si="258"/>
        <v>0.23212717418862136</v>
      </c>
      <c r="CM17" s="11">
        <f t="shared" si="259"/>
        <v>3820.0276259518728</v>
      </c>
      <c r="CO17" s="7" t="str">
        <f t="shared" si="26"/>
        <v>2045_3</v>
      </c>
      <c r="CP17" s="30">
        <f>CP16</f>
        <v>2045</v>
      </c>
      <c r="CQ17" s="5" t="s">
        <v>23</v>
      </c>
      <c r="CR17" s="16">
        <f>CR15+CR16</f>
        <v>796.67569421144003</v>
      </c>
      <c r="CS17" s="16">
        <f>CS15+CS16</f>
        <v>823.59748244314994</v>
      </c>
      <c r="CT17" s="16">
        <f t="shared" ref="CT17:DL17" si="269">CT15+CT16</f>
        <v>863.88063972563828</v>
      </c>
      <c r="CU17" s="16">
        <f t="shared" si="269"/>
        <v>790.94145160204516</v>
      </c>
      <c r="CV17" s="16">
        <f t="shared" si="269"/>
        <v>684.04915212819515</v>
      </c>
      <c r="CW17" s="16">
        <f t="shared" si="269"/>
        <v>965.00234029479952</v>
      </c>
      <c r="CX17" s="16">
        <f t="shared" si="269"/>
        <v>1071.575314926027</v>
      </c>
      <c r="CY17" s="16">
        <f t="shared" si="269"/>
        <v>1116.0393305225907</v>
      </c>
      <c r="CZ17" s="16">
        <f t="shared" si="269"/>
        <v>1132.7918568269727</v>
      </c>
      <c r="DA17" s="16">
        <f t="shared" si="269"/>
        <v>1216.2644624401087</v>
      </c>
      <c r="DB17" s="16">
        <f t="shared" si="269"/>
        <v>1217.2171301612925</v>
      </c>
      <c r="DC17" s="16">
        <f t="shared" si="269"/>
        <v>1401.8288665040748</v>
      </c>
      <c r="DD17" s="16">
        <f t="shared" si="269"/>
        <v>1632.2357389110944</v>
      </c>
      <c r="DE17" s="16">
        <f t="shared" si="269"/>
        <v>1918.101192794506</v>
      </c>
      <c r="DF17" s="16">
        <f t="shared" si="269"/>
        <v>1980.5976602187156</v>
      </c>
      <c r="DG17" s="16">
        <f t="shared" si="269"/>
        <v>1592.9896933491038</v>
      </c>
      <c r="DH17" s="16">
        <f t="shared" si="269"/>
        <v>1476.0534647145923</v>
      </c>
      <c r="DI17" s="16">
        <f t="shared" si="269"/>
        <v>1116.496915031167</v>
      </c>
      <c r="DJ17" s="16">
        <f t="shared" si="269"/>
        <v>767.65843852303215</v>
      </c>
      <c r="DK17" s="16">
        <f t="shared" si="269"/>
        <v>305.1169695384649</v>
      </c>
      <c r="DL17" s="16">
        <f t="shared" si="269"/>
        <v>50.437115573756586</v>
      </c>
      <c r="DM17" s="11">
        <f t="shared" si="260"/>
        <v>22919.550910440761</v>
      </c>
      <c r="DN17" s="11">
        <f t="shared" si="261"/>
        <v>1012.4868733012729</v>
      </c>
      <c r="DO17" s="11">
        <f t="shared" si="262"/>
        <v>503.74054621066432</v>
      </c>
      <c r="DP17" s="11">
        <f t="shared" si="263"/>
        <v>9207.4514497433393</v>
      </c>
      <c r="DQ17" s="11">
        <f t="shared" si="264"/>
        <v>5308.7525967301162</v>
      </c>
      <c r="DR17" s="15">
        <f t="shared" si="265"/>
        <v>0.40172913883530681</v>
      </c>
      <c r="DS17" s="15">
        <f t="shared" si="266"/>
        <v>0.23162550686417549</v>
      </c>
      <c r="DT17" s="11">
        <f t="shared" si="267"/>
        <v>3836.6661378716126</v>
      </c>
      <c r="DV17" s="62" t="s">
        <v>407</v>
      </c>
      <c r="DW17" s="7">
        <f>IF(DW9&gt;=0,0,IF(AND(DW10&lt;=0,DW9&lt;=0,DW16*2&gt;=ABS(DW9)),ROUND(DW16/3,0),ROUND(ABS(DW9)/6,0)))</f>
        <v>343</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352.39210740681705</v>
      </c>
      <c r="BL18" s="9">
        <f>IF(管理者入力シート!$B$14=1,BK15*管理者用人口入力シート!AM$3,IF(管理者入力シート!$B$14=2,BK15*管理者用人口入力シート!AM$7))</f>
        <v>367.02960292177465</v>
      </c>
      <c r="BM18" s="9">
        <f>IF(管理者入力シート!$B$14=1,BL15*管理者用人口入力シート!AN$3,IF(管理者入力シート!$B$14=2,BL15*管理者用人口入力シート!AN$7))</f>
        <v>388.8301977580947</v>
      </c>
      <c r="BN18" s="9">
        <f>IF(管理者入力シート!$B$14=1,BM15*管理者用人口入力シート!AO$3,IF(管理者入力シート!$B$14=2,BM15*管理者用人口入力シート!AO$7))</f>
        <v>358.21534518914456</v>
      </c>
      <c r="BO18" s="9">
        <f>IF(管理者入力シート!$B$14=1,BN15*管理者用人口入力シート!AP$3,IF(管理者入力シート!$B$14=2,BN15*管理者用人口入力シート!AP$7))</f>
        <v>314.58961499116413</v>
      </c>
      <c r="BP18" s="9">
        <f>IF(管理者入力シート!$B$14=1,BO15*管理者用人口入力シート!AQ$3,IF(管理者入力シート!$B$14=2,BO15*管理者用人口入力シート!AQ$7))</f>
        <v>454.56441004625896</v>
      </c>
      <c r="BQ18" s="9">
        <f>IF(管理者入力シート!$B$14=1,BP15*管理者用人口入力シート!AR$3,IF(管理者入力シート!$B$14=2,BP15*管理者用人口入力シート!AR$7))</f>
        <v>498.51951593574961</v>
      </c>
      <c r="BR18" s="9">
        <f>IF(管理者入力シート!$B$14=1,BQ15*管理者用人口入力シート!AS$3,IF(管理者入力シート!$B$14=2,BQ15*管理者用人口入力シート!AS$7))</f>
        <v>573.54109162380325</v>
      </c>
      <c r="BS18" s="9">
        <f>IF(管理者入力シート!$B$14=1,BR15*管理者用人口入力シート!AT$3,IF(管理者入力シート!$B$14=2,BR15*管理者用人口入力シート!AT$7))</f>
        <v>600.66666927474671</v>
      </c>
      <c r="BT18" s="9">
        <f>IF(管理者入力シート!$B$14=1,BS15*管理者用人口入力シート!AU$3,IF(管理者入力シート!$B$14=2,BS15*管理者用人口入力シート!AU$7))</f>
        <v>648.7171151512764</v>
      </c>
      <c r="BU18" s="9">
        <f>IF(管理者入力シート!$B$14=1,BT15*管理者用人口入力シート!AV$3,IF(管理者入力シート!$B$14=2,BT15*管理者用人口入力シート!AV$7))</f>
        <v>673.9005719976625</v>
      </c>
      <c r="BV18" s="9">
        <f>IF(管理者入力シート!$B$14=1,BU15*管理者用人口入力シート!AW$3,IF(管理者入力シート!$B$14=2,BU15*管理者用人口入力シート!AW$7))</f>
        <v>711.20462981628543</v>
      </c>
      <c r="BW18" s="9">
        <f>IF(管理者入力シート!$B$14=1,BV15*管理者用人口入力シート!AX$3,IF(管理者入力シート!$B$14=2,BV15*管理者用人口入力シート!AX$7))</f>
        <v>666.26717171225721</v>
      </c>
      <c r="BX18" s="9">
        <f>IF(管理者入力シート!$B$14=1,BW15*管理者用人口入力シート!AY$3,IF(管理者入力シート!$B$14=2,BW15*管理者用人口入力シート!AY$7))</f>
        <v>780.81215038292567</v>
      </c>
      <c r="BY18" s="9">
        <f>IF(管理者入力シート!$B$14=1,BX15*管理者用人口入力シート!AZ$3,IF(管理者入力シート!$B$14=2,BX15*管理者用人口入力シート!AZ$7))</f>
        <v>846.6088463156982</v>
      </c>
      <c r="BZ18" s="9">
        <f>IF(管理者入力シート!$B$14=1,BY15*管理者用人口入力シート!BA$3,IF(管理者入力シート!$B$14=2,BY15*管理者用人口入力シート!BA$7))</f>
        <v>841.21351250157068</v>
      </c>
      <c r="CA18" s="9">
        <f>IF(管理者入力シート!$B$14=1,BZ15*管理者用人口入力シート!BB$3,IF(管理者入力シート!$B$14=2,BZ15*管理者用人口入力シート!BB$7))</f>
        <v>565.38951082674419</v>
      </c>
      <c r="CB18" s="9">
        <f>IF(管理者入力シート!$B$14=1,CA15*管理者用人口入力シート!BC$3,IF(管理者入力シート!$B$14=2,CA15*管理者用人口入力シート!BC$7))</f>
        <v>377.18689427778315</v>
      </c>
      <c r="CC18" s="9">
        <f>IF(管理者入力シート!$B$14=1,CB15*管理者用人口入力シート!BD$3,IF(管理者入力シート!$B$14=2,CB15*管理者用人口入力シート!BD$7))</f>
        <v>196.11425821360703</v>
      </c>
      <c r="CD18" s="9">
        <f>IF(管理者入力シート!$B$14=1,CC15*管理者用人口入力シート!BE$3,IF(管理者入力シート!$B$14=2,CC15*管理者用人口入力シート!BE$7))</f>
        <v>64.384032298004783</v>
      </c>
      <c r="CE18" s="9">
        <f>IF(管理者入力シート!$B$14=1,CD15*管理者用人口入力シート!BF$3,IF(管理者入力シート!$B$14=2,CD15*管理者用人口入力シート!BF$7))</f>
        <v>6.6580301856151127</v>
      </c>
      <c r="CF18" s="9">
        <f t="shared" si="252"/>
        <v>10286.805278826985</v>
      </c>
      <c r="CG18" s="9">
        <f t="shared" si="253"/>
        <v>453.5158804079216</v>
      </c>
      <c r="CH18" s="9">
        <f t="shared" si="254"/>
        <v>227.17514814106681</v>
      </c>
      <c r="CI18" s="9">
        <f t="shared" si="255"/>
        <v>3678.3672350019497</v>
      </c>
      <c r="CJ18" s="9">
        <f t="shared" si="256"/>
        <v>2050.9462383033251</v>
      </c>
      <c r="CK18" s="13">
        <f t="shared" si="257"/>
        <v>0.35758110854620917</v>
      </c>
      <c r="CL18" s="13">
        <f t="shared" si="258"/>
        <v>0.19937640333532167</v>
      </c>
      <c r="CM18" s="9">
        <f t="shared" si="259"/>
        <v>1841.2146325969761</v>
      </c>
      <c r="CO18" s="7" t="str">
        <f t="shared" si="26"/>
        <v>2050_1</v>
      </c>
      <c r="CP18" s="28">
        <f>管理者入力シート!B13</f>
        <v>2050</v>
      </c>
      <c r="CQ18" s="3" t="s">
        <v>21</v>
      </c>
      <c r="CR18" s="9">
        <f>DT19*$AK$13+将来予測シート②!$G17</f>
        <v>355.77557275709819</v>
      </c>
      <c r="CS18" s="9">
        <f>IF(管理者入力シート!$B$14=1,CR15*管理者用人口入力シート!AM$3,IF(管理者入力シート!$B$14=2,CR15*管理者用人口入力シート!AM$7))+将来予測シート②!$G18</f>
        <v>369.7221783507689</v>
      </c>
      <c r="CT18" s="9">
        <f>IF(管理者入力シート!$B$14=1,CS15*管理者用人口入力シート!AN$3,IF(管理者入力シート!$B$14=2,CS15*管理者用人口入力シート!AN$7))+将来予測シート②!$G19</f>
        <v>392.13003981909446</v>
      </c>
      <c r="CU18" s="9">
        <f>IF(管理者入力シート!$B$14=1,CT15*管理者用人口入力シート!AO$3,IF(管理者入力シート!$B$14=2,CT15*管理者用人口入力シート!AO$7))+将来予測シート②!$G20</f>
        <v>360.83932494651617</v>
      </c>
      <c r="CV18" s="9">
        <f>IF(管理者入力シート!$B$14=1,CU15*管理者用人口入力シート!AP$3,IF(管理者入力シート!$B$14=2,CU15*管理者用人口入力シート!AP$7))+将来予測シート②!$G21</f>
        <v>316.39416358995561</v>
      </c>
      <c r="CW18" s="9">
        <f>IF(管理者入力シート!$B$14=1,CV15*管理者用人口入力シート!AQ$3,IF(管理者入力シート!$B$14=2,CV15*管理者用人口入力シート!AQ$7))+将来予測シート②!$G22</f>
        <v>458.16594688766014</v>
      </c>
      <c r="CX18" s="9">
        <f>IF(管理者入力シート!$B$14=1,CW15*管理者用人口入力シート!AR$3,IF(管理者入力シート!$B$14=2,CW15*管理者用人口入力シート!AR$7))+将来予測シート②!$G23</f>
        <v>501.18947656434432</v>
      </c>
      <c r="CY18" s="9">
        <f>IF(管理者入力シート!$B$14=1,CX15*管理者用人口入力シート!AS$3,IF(管理者入力シート!$B$14=2,CX15*管理者用人口入力シート!AS$7))+将来予測シート②!$G24</f>
        <v>575.99126733318496</v>
      </c>
      <c r="CZ18" s="9">
        <f>IF(管理者入力シート!$B$14=1,CY15*管理者用人口入力シート!AT$3,IF(管理者入力シート!$B$14=2,CY15*管理者用人口入力シート!AT$7))+将来予測シート②!$G25</f>
        <v>602.2967559823287</v>
      </c>
      <c r="DA18" s="9">
        <f>IF(管理者入力シート!$B$14=1,CZ15*管理者用人口入力シート!AU$3,IF(管理者入力シート!$B$14=2,CZ15*管理者用人口入力シート!AU$7))+将来予測シート②!$G26</f>
        <v>650.34845546235022</v>
      </c>
      <c r="DB18" s="9">
        <f>IF(管理者入力シート!$B$14=1,DA15*管理者用人口入力シート!AV$3,IF(管理者入力シート!$B$14=2,DA15*管理者用人口入力シート!AV$7))+将来予測シート②!$G27</f>
        <v>675.47386410312811</v>
      </c>
      <c r="DC18" s="9">
        <f>IF(管理者入力シート!$B$14=1,DB15*管理者用人口入力シート!AW$3,IF(管理者入力シート!$B$14=2,DB15*管理者用人口入力シート!AW$7))+将来予測シート②!$G28</f>
        <v>711.20462981628543</v>
      </c>
      <c r="DD18" s="9">
        <f>IF(管理者入力シート!$B$14=1,DC15*管理者用人口入力シート!AX$3,IF(管理者入力シート!$B$14=2,DC15*管理者用人口入力シート!AX$7))+将来予測シート②!$G29</f>
        <v>666.26717171225721</v>
      </c>
      <c r="DE18" s="9">
        <f>IF(管理者入力シート!$B$14=1,DD15*管理者用人口入力シート!AY$3,IF(管理者入力シート!$B$14=2,DD15*管理者用人口入力シート!AY$7))</f>
        <v>780.81215038292567</v>
      </c>
      <c r="DF18" s="9">
        <f>IF(管理者入力シート!$B$14=1,DE15*管理者用人口入力シート!AZ$3,IF(管理者入力シート!$B$14=2,DE15*管理者用人口入力シート!AZ$7))</f>
        <v>846.6088463156982</v>
      </c>
      <c r="DG18" s="9">
        <f>IF(管理者入力シート!$B$14=1,DF15*管理者用人口入力シート!BA$3,IF(管理者入力シート!$B$14=2,DF15*管理者用人口入力シート!BA$7))</f>
        <v>841.21351250157068</v>
      </c>
      <c r="DH18" s="9">
        <f>IF(管理者入力シート!$B$14=1,DG15*管理者用人口入力シート!BB$3,IF(管理者入力シート!$B$14=2,DG15*管理者用人口入力シート!BB$7))</f>
        <v>565.38951082674419</v>
      </c>
      <c r="DI18" s="9">
        <f>IF(管理者入力シート!$B$14=1,DH15*管理者用人口入力シート!BC$3,IF(管理者入力シート!$B$14=2,DH15*管理者用人口入力シート!BC$7))</f>
        <v>377.18689427778315</v>
      </c>
      <c r="DJ18" s="9">
        <f>IF(管理者入力シート!$B$14=1,DI15*管理者用人口入力シート!BD$3,IF(管理者入力シート!$B$14=2,DI15*管理者用人口入力シート!BD$7))</f>
        <v>196.11425821360703</v>
      </c>
      <c r="DK18" s="9">
        <f>IF(管理者入力シート!$B$14=1,DJ15*管理者用人口入力シート!BE$3,IF(管理者入力シート!$B$14=2,DJ15*管理者用人口入力シート!BE$7))</f>
        <v>64.384032298004783</v>
      </c>
      <c r="DL18" s="9">
        <f>IF(管理者入力シート!$B$14=1,DK15*管理者用人口入力シート!BF$3,IF(管理者入力シート!$B$14=2,DK15*管理者用人口入力シート!BF$7))</f>
        <v>6.6580301856151127</v>
      </c>
      <c r="DM18" s="9">
        <f t="shared" si="260"/>
        <v>10314.166082326923</v>
      </c>
      <c r="DN18" s="9">
        <f t="shared" si="261"/>
        <v>457.111330901918</v>
      </c>
      <c r="DO18" s="9">
        <f t="shared" si="262"/>
        <v>229.01988091694102</v>
      </c>
      <c r="DP18" s="9">
        <f t="shared" si="263"/>
        <v>3678.3672350019497</v>
      </c>
      <c r="DQ18" s="9">
        <f t="shared" si="264"/>
        <v>2050.9462383033251</v>
      </c>
      <c r="DR18" s="13">
        <f t="shared" si="265"/>
        <v>0.35663253874733936</v>
      </c>
      <c r="DS18" s="13">
        <f t="shared" si="266"/>
        <v>0.1988475095255226</v>
      </c>
      <c r="DT18" s="9">
        <f t="shared" si="267"/>
        <v>1851.7408543751453</v>
      </c>
      <c r="DX18" s="308">
        <f>DX1</f>
        <v>343</v>
      </c>
      <c r="DY18" s="309"/>
      <c r="DZ18" s="312" t="s">
        <v>0</v>
      </c>
      <c r="EA18" s="312" t="s">
        <v>1</v>
      </c>
      <c r="EB18" s="312" t="s">
        <v>2</v>
      </c>
      <c r="EC18" s="312" t="s">
        <v>3</v>
      </c>
      <c r="ED18" s="312" t="s">
        <v>4</v>
      </c>
      <c r="EE18" s="312" t="s">
        <v>5</v>
      </c>
      <c r="EF18" s="312" t="s">
        <v>6</v>
      </c>
      <c r="EG18" s="312" t="s">
        <v>7</v>
      </c>
      <c r="EH18" s="312" t="s">
        <v>8</v>
      </c>
      <c r="EI18" s="312" t="s">
        <v>9</v>
      </c>
      <c r="EJ18" s="312" t="s">
        <v>10</v>
      </c>
      <c r="EK18" s="312" t="s">
        <v>11</v>
      </c>
      <c r="EL18" s="312" t="s">
        <v>12</v>
      </c>
      <c r="EM18" s="312" t="s">
        <v>13</v>
      </c>
      <c r="EN18" s="312" t="s">
        <v>14</v>
      </c>
      <c r="EO18" s="312" t="s">
        <v>15</v>
      </c>
      <c r="EP18" s="312" t="s">
        <v>16</v>
      </c>
      <c r="EQ18" s="312" t="s">
        <v>17</v>
      </c>
      <c r="ER18" s="312" t="s">
        <v>18</v>
      </c>
      <c r="ES18" s="312" t="s">
        <v>19</v>
      </c>
      <c r="ET18" s="312" t="s">
        <v>20</v>
      </c>
      <c r="EU18" s="312" t="s">
        <v>23</v>
      </c>
      <c r="EV18" s="313" t="s">
        <v>50</v>
      </c>
      <c r="EW18" s="313" t="s">
        <v>51</v>
      </c>
      <c r="EX18" s="314" t="s">
        <v>79</v>
      </c>
      <c r="EY18" s="314" t="s">
        <v>80</v>
      </c>
      <c r="EZ18" s="313" t="s">
        <v>48</v>
      </c>
      <c r="FA18" s="313" t="s">
        <v>49</v>
      </c>
      <c r="FB18" s="313"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336.35970531691885</v>
      </c>
      <c r="BL19" s="10">
        <f>IF(管理者入力シート!$B$14=1,BK16*管理者用人口入力シート!AM$4,IF(管理者入力シート!$B$14=2,BK16*管理者用人口入力シート!AM$8))</f>
        <v>364.77129689958025</v>
      </c>
      <c r="BM19" s="10">
        <f>IF(管理者入力シート!$B$14=1,BL16*管理者用人口入力シート!AN$4,IF(管理者入力シート!$B$14=2,BL16*管理者用人口入力シート!AN$8))</f>
        <v>385.09676548016733</v>
      </c>
      <c r="BN19" s="10">
        <f>IF(管理者入力シート!$B$14=1,BM16*管理者用人口入力シート!AO$4,IF(管理者入力シート!$B$14=2,BM16*管理者用人口入力シート!AO$8))</f>
        <v>371.20083233102497</v>
      </c>
      <c r="BO19" s="10">
        <f>IF(管理者入力シート!$B$14=1,BN16*管理者用人口入力シート!AP$4,IF(管理者入力シート!$B$14=2,BN16*管理者用人口入力シート!AP$8))</f>
        <v>285.46383858103593</v>
      </c>
      <c r="BP19" s="10">
        <f>IF(管理者入力シート!$B$14=1,BO16*管理者用人口入力シート!AQ$4,IF(管理者入力シート!$B$14=2,BO16*管理者用人口入力シート!AQ$8))</f>
        <v>361.7228544872749</v>
      </c>
      <c r="BQ19" s="10">
        <f>IF(管理者入力シート!$B$14=1,BP16*管理者用人口入力シート!AR$4,IF(管理者入力シート!$B$14=2,BP16*管理者用人口入力シート!AR$8))</f>
        <v>398.74729978259563</v>
      </c>
      <c r="BR19" s="10">
        <f>IF(管理者入力シート!$B$14=1,BQ16*管理者用人口入力シート!AS$4,IF(管理者入力シート!$B$14=2,BQ16*管理者用人口入力シート!AS$8))</f>
        <v>410.57119973005427</v>
      </c>
      <c r="BS19" s="10">
        <f>IF(管理者入力シート!$B$14=1,BR16*管理者用人口入力シート!AT$4,IF(管理者入力シート!$B$14=2,BR16*管理者用人口入力シート!AT$8))</f>
        <v>461.14620430970746</v>
      </c>
      <c r="BT19" s="10">
        <f>IF(管理者入力シート!$B$14=1,BS16*管理者用人口入力シート!AU$4,IF(管理者入力シート!$B$14=2,BS16*管理者用人口入力シート!AU$8))</f>
        <v>459.63710592478998</v>
      </c>
      <c r="BU19" s="10">
        <f>IF(管理者入力シート!$B$14=1,BT16*管理者用人口入力シート!AV$4,IF(管理者入力シート!$B$14=2,BT16*管理者用人口入力シート!AV$8))</f>
        <v>507.62477734096586</v>
      </c>
      <c r="BV19" s="10">
        <f>IF(管理者入力シート!$B$14=1,BU16*管理者用人口入力シート!AW$4,IF(管理者入力シート!$B$14=2,BU16*管理者用人口入力シート!AW$8))</f>
        <v>503.86351336958978</v>
      </c>
      <c r="BW19" s="10">
        <f>IF(管理者入力シート!$B$14=1,BV16*管理者用人口入力シート!AX$4,IF(管理者入力シート!$B$14=2,BV16*管理者用人口入力シート!AX$8))</f>
        <v>673.82025360994112</v>
      </c>
      <c r="BX19" s="10">
        <f>IF(管理者入力シート!$B$14=1,BW16*管理者用人口入力シート!AY$4,IF(管理者入力シート!$B$14=2,BW16*管理者用人口入力シート!AY$8))</f>
        <v>765.16184265245897</v>
      </c>
      <c r="BY19" s="10">
        <f>IF(管理者入力シート!$B$14=1,BX16*管理者用人口入力シート!AZ$4,IF(管理者入力シート!$B$14=2,BX16*管理者用人口入力シート!AZ$8))</f>
        <v>930.01833446958233</v>
      </c>
      <c r="BZ19" s="10">
        <f>IF(管理者入力シート!$B$14=1,BY16*管理者用人口入力シート!BA$4,IF(管理者入力シート!$B$14=2,BY16*管理者用人口入力シート!BA$8))</f>
        <v>950.93965238430587</v>
      </c>
      <c r="CA19" s="10">
        <f>IF(管理者入力シート!$B$14=1,BZ16*管理者用人口入力シート!BB$4,IF(管理者入力シート!$B$14=2,BZ16*管理者用人口入力シート!BB$8))</f>
        <v>772.67173858568844</v>
      </c>
      <c r="CB19" s="10">
        <f>IF(管理者入力シート!$B$14=1,CA16*管理者用人口入力シート!BC$4,IF(管理者入力シート!$B$14=2,CA16*管理者用人口入力シート!BC$8))</f>
        <v>683.88976620897972</v>
      </c>
      <c r="CC19" s="10">
        <f>IF(管理者入力シート!$B$14=1,CB16*管理者用人口入力シート!BD$4,IF(管理者入力シート!$B$14=2,CB16*管理者用人口入力シート!BD$8))</f>
        <v>447.62617125897197</v>
      </c>
      <c r="CD19" s="10">
        <f>IF(管理者入力シート!$B$14=1,CC16*管理者用人口入力シート!BE$4,IF(管理者入力シート!$B$14=2,CC16*管理者用人口入力シート!BE$8))</f>
        <v>212.30364568512937</v>
      </c>
      <c r="CE19" s="10">
        <f>IF(管理者入力シート!$B$14=1,CD16*管理者用人口入力シート!BF$4,IF(管理者入力シート!$B$14=2,CD16*管理者用人口入力シート!BF$8))</f>
        <v>55.536442153643208</v>
      </c>
      <c r="CF19" s="10">
        <f t="shared" si="252"/>
        <v>10338.173240562406</v>
      </c>
      <c r="CG19" s="10">
        <f t="shared" si="253"/>
        <v>449.9208374278486</v>
      </c>
      <c r="CH19" s="10">
        <f t="shared" si="254"/>
        <v>228.27887265827195</v>
      </c>
      <c r="CI19" s="10">
        <f t="shared" si="255"/>
        <v>4818.1475933987595</v>
      </c>
      <c r="CJ19" s="10">
        <f t="shared" si="256"/>
        <v>3122.9674162767187</v>
      </c>
      <c r="CK19" s="14">
        <f t="shared" si="257"/>
        <v>0.46605405822515</v>
      </c>
      <c r="CL19" s="14">
        <f t="shared" si="258"/>
        <v>0.30208116498024812</v>
      </c>
      <c r="CM19" s="10">
        <f t="shared" si="259"/>
        <v>1456.505192580961</v>
      </c>
      <c r="CO19" s="7" t="str">
        <f t="shared" si="26"/>
        <v>2050_2</v>
      </c>
      <c r="CP19" s="29">
        <f>CP18</f>
        <v>2050</v>
      </c>
      <c r="CQ19" s="4" t="s">
        <v>22</v>
      </c>
      <c r="CR19" s="10">
        <f>DT19*$AK$14+将来予測シート②!$H17</f>
        <v>339.63473272531689</v>
      </c>
      <c r="CS19" s="10">
        <f>IF(管理者入力シート!$B$14=1,CR16*管理者用人口入力シート!AM$4,IF(管理者入力シート!$B$14=2,CR16*管理者用人口入力シート!AM$8))+将来予測シート②!$H18</f>
        <v>367.49027552279824</v>
      </c>
      <c r="CT19" s="10">
        <f>IF(管理者入力シート!$B$14=1,CS16*管理者用人口入力シート!AN$4,IF(管理者入力シート!$B$14=2,CS16*管理者用人口入力シート!AN$8))+将来予測シート②!$H19</f>
        <v>388.41507417277097</v>
      </c>
      <c r="CU19" s="10">
        <f>IF(管理者入力シート!$B$14=1,CT16*管理者用人口入力シート!AO$4,IF(管理者入力シート!$B$14=2,CT16*管理者用人口入力シート!AO$8))+将来予測シート②!$H20</f>
        <v>373.96355989680114</v>
      </c>
      <c r="CV19" s="10">
        <f>IF(管理者入力シート!$B$14=1,CU16*管理者用人口入力シート!AP$4,IF(管理者入力シート!$B$14=2,CU16*管理者用人口入力シート!AP$8))+将来予測シート②!$H21</f>
        <v>287.13243587461784</v>
      </c>
      <c r="CW19" s="10">
        <f>IF(管理者入力シート!$B$14=1,CV16*管理者用人口入力シート!AQ$4,IF(管理者入力シート!$B$14=2,CV16*管理者用人口入力シート!AQ$8))+将来予測シート②!$H22</f>
        <v>365.03200349326681</v>
      </c>
      <c r="CX19" s="10">
        <f>IF(管理者入力シート!$B$14=1,CW16*管理者用人口入力シート!AR$4,IF(管理者入力シート!$B$14=2,CW16*管理者用人口入力シート!AR$8))+将来予測シート②!$H23</f>
        <v>401.27224284738423</v>
      </c>
      <c r="CY19" s="10">
        <f>IF(管理者入力シート!$B$14=1,CX16*管理者用人口入力シート!AS$4,IF(管理者入力シート!$B$14=2,CX16*管理者用人口入力シート!AS$8))+将来予測シート②!$H24</f>
        <v>412.9198367321298</v>
      </c>
      <c r="CZ19" s="10">
        <f>IF(管理者入力シート!$B$14=1,CY16*管理者用人口入力シート!AT$4,IF(管理者入力シート!$B$14=2,CY16*管理者用人口入力シート!AT$8))+将来予測シート②!$H25</f>
        <v>463.81705263929456</v>
      </c>
      <c r="DA19" s="10">
        <f>IF(管理者入力シート!$B$14=1,CZ16*管理者用人口入力シート!AU$4,IF(管理者入力シート!$B$14=2,CZ16*管理者用人口入力シート!AU$8))+将来予測シート②!$H26</f>
        <v>462.19319954612661</v>
      </c>
      <c r="DB19" s="10">
        <f>IF(管理者入力シート!$B$14=1,DA16*管理者用人口入力シート!AV$4,IF(管理者入力シート!$B$14=2,DA16*管理者用人口入力シート!AV$8))+将来予測シート②!$H27</f>
        <v>510.15254976492741</v>
      </c>
      <c r="DC19" s="10">
        <f>IF(管理者入力シート!$B$14=1,DB16*管理者用人口入力シート!AW$4,IF(管理者入力シート!$B$14=2,DB16*管理者用人口入力シート!AW$8))+将来予測シート②!$H28</f>
        <v>504.79770818229764</v>
      </c>
      <c r="DD19" s="10">
        <f>IF(管理者入力シート!$B$14=1,DC16*管理者用人口入力シート!AX$4,IF(管理者入力シート!$B$14=2,DC16*管理者用人口入力シート!AX$8))+将来予測シート②!$H29</f>
        <v>674.72699591064622</v>
      </c>
      <c r="DE19" s="10">
        <f>IF(管理者入力シート!$B$14=1,DD16*管理者用人口入力シート!AY$4,IF(管理者入力シート!$B$14=2,DD16*管理者用人口入力シート!AY$8))</f>
        <v>766.02215965633434</v>
      </c>
      <c r="DF19" s="10">
        <f>IF(管理者入力シート!$B$14=1,DE16*管理者用人口入力シート!AZ$4,IF(管理者入力シート!$B$14=2,DE16*管理者用人口入力シート!AZ$8))</f>
        <v>930.01833446958233</v>
      </c>
      <c r="DG19" s="10">
        <f>IF(管理者入力シート!$B$14=1,DF16*管理者用人口入力シート!BA$4,IF(管理者入力シート!$B$14=2,DF16*管理者用人口入力シート!BA$8))</f>
        <v>950.93965238430587</v>
      </c>
      <c r="DH19" s="10">
        <f>IF(管理者入力シート!$B$14=1,DG16*管理者用人口入力シート!BB$4,IF(管理者入力シート!$B$14=2,DG16*管理者用人口入力シート!BB$8))</f>
        <v>772.67173858568844</v>
      </c>
      <c r="DI19" s="10">
        <f>IF(管理者入力シート!$B$14=1,DH16*管理者用人口入力シート!BC$4,IF(管理者入力シート!$B$14=2,DH16*管理者用人口入力シート!BC$8))</f>
        <v>683.88976620897972</v>
      </c>
      <c r="DJ19" s="10">
        <f>IF(管理者入力シート!$B$14=1,DI16*管理者用人口入力シート!BD$4,IF(管理者入力シート!$B$14=2,DI16*管理者用人口入力シート!BD$8))</f>
        <v>447.62617125897197</v>
      </c>
      <c r="DK19" s="10">
        <f>IF(管理者入力シート!$B$14=1,DJ16*管理者用人口入力シート!BE$4,IF(管理者入力シート!$B$14=2,DJ16*管理者用人口入力シート!BE$8))</f>
        <v>212.30364568512937</v>
      </c>
      <c r="DL19" s="10">
        <f>IF(管理者入力シート!$B$14=1,DK16*管理者用人口入力シート!BF$4,IF(管理者入力シート!$B$14=2,DK16*管理者用人口入力シート!BF$8))</f>
        <v>55.536442153643208</v>
      </c>
      <c r="DM19" s="10">
        <f t="shared" si="260"/>
        <v>10370.555577711013</v>
      </c>
      <c r="DN19" s="10">
        <f t="shared" si="261"/>
        <v>453.54320981734156</v>
      </c>
      <c r="DO19" s="10">
        <f t="shared" si="262"/>
        <v>230.15874164846863</v>
      </c>
      <c r="DP19" s="10">
        <f t="shared" si="263"/>
        <v>4819.0079104026354</v>
      </c>
      <c r="DQ19" s="10">
        <f t="shared" si="264"/>
        <v>3122.9674162767187</v>
      </c>
      <c r="DR19" s="14">
        <f t="shared" si="265"/>
        <v>0.46468174962197017</v>
      </c>
      <c r="DS19" s="14">
        <f t="shared" si="266"/>
        <v>0.30113790846353283</v>
      </c>
      <c r="DT19" s="10">
        <f t="shared" si="267"/>
        <v>1466.3565189473986</v>
      </c>
      <c r="DX19" s="310"/>
      <c r="DY19" s="311"/>
      <c r="DZ19" s="312"/>
      <c r="EA19" s="312"/>
      <c r="EB19" s="312"/>
      <c r="EC19" s="312"/>
      <c r="ED19" s="312"/>
      <c r="EE19" s="312"/>
      <c r="EF19" s="312"/>
      <c r="EG19" s="312"/>
      <c r="EH19" s="312"/>
      <c r="EI19" s="312"/>
      <c r="EJ19" s="312"/>
      <c r="EK19" s="312"/>
      <c r="EL19" s="312"/>
      <c r="EM19" s="312"/>
      <c r="EN19" s="312"/>
      <c r="EO19" s="312"/>
      <c r="EP19" s="312"/>
      <c r="EQ19" s="312"/>
      <c r="ER19" s="312"/>
      <c r="ES19" s="312"/>
      <c r="ET19" s="312"/>
      <c r="EU19" s="312"/>
      <c r="EV19" s="313"/>
      <c r="EW19" s="313"/>
      <c r="EX19" s="315"/>
      <c r="EY19" s="315"/>
      <c r="EZ19" s="313"/>
      <c r="FA19" s="313"/>
      <c r="FB19" s="313"/>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688.75181272373584</v>
      </c>
      <c r="BL20" s="16">
        <f t="shared" ref="BL20:CE20" si="276">BL18+BL19</f>
        <v>731.80089982135496</v>
      </c>
      <c r="BM20" s="16">
        <f t="shared" si="276"/>
        <v>773.92696323826203</v>
      </c>
      <c r="BN20" s="16">
        <f t="shared" si="276"/>
        <v>729.41617752016953</v>
      </c>
      <c r="BO20" s="16">
        <f t="shared" si="276"/>
        <v>600.05345357220006</v>
      </c>
      <c r="BP20" s="16">
        <f t="shared" si="276"/>
        <v>816.28726453353386</v>
      </c>
      <c r="BQ20" s="16">
        <f t="shared" si="276"/>
        <v>897.26681571834524</v>
      </c>
      <c r="BR20" s="16">
        <f t="shared" si="276"/>
        <v>984.11229135385747</v>
      </c>
      <c r="BS20" s="16">
        <f t="shared" si="276"/>
        <v>1061.8128735844541</v>
      </c>
      <c r="BT20" s="16">
        <f t="shared" si="276"/>
        <v>1108.3542210760663</v>
      </c>
      <c r="BU20" s="16">
        <f t="shared" si="276"/>
        <v>1181.5253493386283</v>
      </c>
      <c r="BV20" s="16">
        <f t="shared" si="276"/>
        <v>1215.0681431858752</v>
      </c>
      <c r="BW20" s="16">
        <f t="shared" si="276"/>
        <v>1340.0874253221982</v>
      </c>
      <c r="BX20" s="16">
        <f t="shared" si="276"/>
        <v>1545.9739930353846</v>
      </c>
      <c r="BY20" s="16">
        <f t="shared" si="276"/>
        <v>1776.6271807852804</v>
      </c>
      <c r="BZ20" s="16">
        <f t="shared" si="276"/>
        <v>1792.1531648858765</v>
      </c>
      <c r="CA20" s="16">
        <f t="shared" si="276"/>
        <v>1338.0612494124325</v>
      </c>
      <c r="CB20" s="16">
        <f t="shared" si="276"/>
        <v>1061.0766604867629</v>
      </c>
      <c r="CC20" s="16">
        <f t="shared" si="276"/>
        <v>643.74042947257897</v>
      </c>
      <c r="CD20" s="16">
        <f t="shared" si="276"/>
        <v>276.68767798313417</v>
      </c>
      <c r="CE20" s="16">
        <f t="shared" si="276"/>
        <v>62.194472339258319</v>
      </c>
      <c r="CF20" s="11">
        <f t="shared" si="252"/>
        <v>20624.978519389391</v>
      </c>
      <c r="CG20" s="11">
        <f t="shared" si="253"/>
        <v>903.4367178357702</v>
      </c>
      <c r="CH20" s="11">
        <f t="shared" si="254"/>
        <v>455.45402079933871</v>
      </c>
      <c r="CI20" s="11">
        <f t="shared" si="255"/>
        <v>8496.51482840071</v>
      </c>
      <c r="CJ20" s="11">
        <f t="shared" si="256"/>
        <v>5173.9136545800438</v>
      </c>
      <c r="CK20" s="15">
        <f t="shared" si="257"/>
        <v>0.41195266314644635</v>
      </c>
      <c r="CL20" s="15">
        <f t="shared" si="258"/>
        <v>0.25085668087925939</v>
      </c>
      <c r="CM20" s="11">
        <f t="shared" si="259"/>
        <v>3297.7198251779364</v>
      </c>
      <c r="CO20" s="7" t="str">
        <f t="shared" si="26"/>
        <v>2050_3</v>
      </c>
      <c r="CP20" s="30">
        <f>CP19</f>
        <v>2050</v>
      </c>
      <c r="CQ20" s="5" t="s">
        <v>23</v>
      </c>
      <c r="CR20" s="16">
        <f>CR18+CR19</f>
        <v>695.41030548241508</v>
      </c>
      <c r="CS20" s="16">
        <f t="shared" ref="CS20:DL20" si="277">CS18+CS19</f>
        <v>737.21245387356714</v>
      </c>
      <c r="CT20" s="16">
        <f t="shared" si="277"/>
        <v>780.54511399186549</v>
      </c>
      <c r="CU20" s="16">
        <f t="shared" si="277"/>
        <v>734.80288484331732</v>
      </c>
      <c r="CV20" s="16">
        <f t="shared" si="277"/>
        <v>603.52659946457345</v>
      </c>
      <c r="CW20" s="16">
        <f t="shared" si="277"/>
        <v>823.19795038092695</v>
      </c>
      <c r="CX20" s="16">
        <f t="shared" si="277"/>
        <v>902.46171941172861</v>
      </c>
      <c r="CY20" s="16">
        <f t="shared" si="277"/>
        <v>988.9111040653147</v>
      </c>
      <c r="CZ20" s="16">
        <f t="shared" si="277"/>
        <v>1066.1138086216233</v>
      </c>
      <c r="DA20" s="16">
        <f t="shared" si="277"/>
        <v>1112.5416550084769</v>
      </c>
      <c r="DB20" s="16">
        <f t="shared" si="277"/>
        <v>1185.6264138680556</v>
      </c>
      <c r="DC20" s="16">
        <f t="shared" si="277"/>
        <v>1216.002337998583</v>
      </c>
      <c r="DD20" s="16">
        <f t="shared" si="277"/>
        <v>1340.9941676229034</v>
      </c>
      <c r="DE20" s="16">
        <f t="shared" si="277"/>
        <v>1546.8343100392599</v>
      </c>
      <c r="DF20" s="16">
        <f t="shared" si="277"/>
        <v>1776.6271807852804</v>
      </c>
      <c r="DG20" s="16">
        <f t="shared" si="277"/>
        <v>1792.1531648858765</v>
      </c>
      <c r="DH20" s="16">
        <f t="shared" si="277"/>
        <v>1338.0612494124325</v>
      </c>
      <c r="DI20" s="16">
        <f t="shared" si="277"/>
        <v>1061.0766604867629</v>
      </c>
      <c r="DJ20" s="16">
        <f t="shared" si="277"/>
        <v>643.74042947257897</v>
      </c>
      <c r="DK20" s="16">
        <f t="shared" si="277"/>
        <v>276.68767798313417</v>
      </c>
      <c r="DL20" s="16">
        <f t="shared" si="277"/>
        <v>62.194472339258319</v>
      </c>
      <c r="DM20" s="11">
        <f t="shared" si="260"/>
        <v>20684.721660037936</v>
      </c>
      <c r="DN20" s="11">
        <f t="shared" si="261"/>
        <v>910.65454071925956</v>
      </c>
      <c r="DO20" s="11">
        <f t="shared" si="262"/>
        <v>459.17862256540968</v>
      </c>
      <c r="DP20" s="11">
        <f t="shared" si="263"/>
        <v>8497.3751454045851</v>
      </c>
      <c r="DQ20" s="11">
        <f t="shared" si="264"/>
        <v>5173.9136545800438</v>
      </c>
      <c r="DR20" s="15">
        <f t="shared" si="265"/>
        <v>0.41080442294861419</v>
      </c>
      <c r="DS20" s="15">
        <f t="shared" si="266"/>
        <v>0.25013213808798018</v>
      </c>
      <c r="DT20" s="11">
        <f t="shared" si="267"/>
        <v>3318.0973733225437</v>
      </c>
      <c r="DX20" s="28">
        <f>DX3</f>
        <v>2025</v>
      </c>
      <c r="DY20" s="3" t="s">
        <v>21</v>
      </c>
      <c r="DZ20" s="9">
        <f t="shared" ref="DZ20:ET20" si="278">ROUND(DZ3,0)</f>
        <v>614</v>
      </c>
      <c r="EA20" s="9">
        <f t="shared" si="278"/>
        <v>655</v>
      </c>
      <c r="EB20" s="9">
        <f t="shared" si="278"/>
        <v>777</v>
      </c>
      <c r="EC20" s="9">
        <f t="shared" si="278"/>
        <v>711</v>
      </c>
      <c r="ED20" s="9">
        <f t="shared" si="278"/>
        <v>625</v>
      </c>
      <c r="EE20" s="9">
        <f t="shared" si="278"/>
        <v>1200</v>
      </c>
      <c r="EF20" s="9">
        <f t="shared" si="278"/>
        <v>1180</v>
      </c>
      <c r="EG20" s="9">
        <f t="shared" si="278"/>
        <v>1106</v>
      </c>
      <c r="EH20" s="9">
        <f t="shared" si="278"/>
        <v>900</v>
      </c>
      <c r="EI20" s="9">
        <f t="shared" si="278"/>
        <v>1088</v>
      </c>
      <c r="EJ20" s="9">
        <f t="shared" si="278"/>
        <v>1196</v>
      </c>
      <c r="EK20" s="9">
        <f t="shared" si="278"/>
        <v>1027</v>
      </c>
      <c r="EL20" s="9">
        <f t="shared" si="278"/>
        <v>1024</v>
      </c>
      <c r="EM20" s="9">
        <f t="shared" si="278"/>
        <v>1036</v>
      </c>
      <c r="EN20" s="9">
        <f t="shared" si="278"/>
        <v>1104</v>
      </c>
      <c r="EO20" s="9">
        <f t="shared" si="278"/>
        <v>1115</v>
      </c>
      <c r="EP20" s="9">
        <f t="shared" si="278"/>
        <v>618</v>
      </c>
      <c r="EQ20" s="9">
        <f t="shared" si="278"/>
        <v>427</v>
      </c>
      <c r="ER20" s="9">
        <f t="shared" si="278"/>
        <v>220</v>
      </c>
      <c r="ES20" s="9">
        <f t="shared" si="278"/>
        <v>48</v>
      </c>
      <c r="ET20" s="9">
        <f t="shared" si="278"/>
        <v>3</v>
      </c>
      <c r="EU20" s="9">
        <f t="shared" ref="EU20:EU21" si="279">SUM(DZ20:ET20)</f>
        <v>16674</v>
      </c>
      <c r="EV20" s="9">
        <f>EA20*3/5+EB20*3/5</f>
        <v>859.2</v>
      </c>
      <c r="EW20" s="9">
        <f>EB20*2/5+EC20*1/5</f>
        <v>453</v>
      </c>
      <c r="EX20" s="9">
        <f t="shared" ref="EX20:EX31" si="280">SUM(EM20:ET20)</f>
        <v>4571</v>
      </c>
      <c r="EY20" s="9">
        <f>SUM(EO20:ET20)</f>
        <v>2431</v>
      </c>
      <c r="EZ20" s="13">
        <f>EX20/EU20</f>
        <v>0.27413937867338373</v>
      </c>
      <c r="FA20" s="13">
        <f>EY20/EU20</f>
        <v>0.14579584982607652</v>
      </c>
      <c r="FB20" s="9">
        <f>SUM(ED20:EG20)</f>
        <v>4111</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586</v>
      </c>
      <c r="EA21" s="10">
        <f t="shared" si="281"/>
        <v>651</v>
      </c>
      <c r="EB21" s="10">
        <f t="shared" si="281"/>
        <v>680</v>
      </c>
      <c r="EC21" s="10">
        <f t="shared" si="281"/>
        <v>694</v>
      </c>
      <c r="ED21" s="10">
        <f t="shared" si="281"/>
        <v>515</v>
      </c>
      <c r="EE21" s="10">
        <f t="shared" si="281"/>
        <v>985</v>
      </c>
      <c r="EF21" s="10">
        <f t="shared" si="281"/>
        <v>948</v>
      </c>
      <c r="EG21" s="10">
        <f t="shared" si="281"/>
        <v>1119</v>
      </c>
      <c r="EH21" s="10">
        <f t="shared" si="281"/>
        <v>889</v>
      </c>
      <c r="EI21" s="10">
        <f t="shared" si="281"/>
        <v>1084</v>
      </c>
      <c r="EJ21" s="10">
        <f t="shared" si="281"/>
        <v>1171</v>
      </c>
      <c r="EK21" s="10">
        <f t="shared" si="281"/>
        <v>1065</v>
      </c>
      <c r="EL21" s="10">
        <f t="shared" si="281"/>
        <v>1175</v>
      </c>
      <c r="EM21" s="10">
        <f t="shared" si="281"/>
        <v>1162</v>
      </c>
      <c r="EN21" s="10">
        <f t="shared" si="281"/>
        <v>1325</v>
      </c>
      <c r="EO21" s="10">
        <f t="shared" si="281"/>
        <v>1347</v>
      </c>
      <c r="EP21" s="10">
        <f t="shared" si="281"/>
        <v>979</v>
      </c>
      <c r="EQ21" s="10">
        <f t="shared" si="281"/>
        <v>786</v>
      </c>
      <c r="ER21" s="10">
        <f t="shared" si="281"/>
        <v>553</v>
      </c>
      <c r="ES21" s="10">
        <f t="shared" si="281"/>
        <v>209</v>
      </c>
      <c r="ET21" s="10">
        <f t="shared" si="281"/>
        <v>42</v>
      </c>
      <c r="EU21" s="10">
        <f t="shared" si="279"/>
        <v>17965</v>
      </c>
      <c r="EV21" s="10">
        <f t="shared" ref="EV21:EV31" si="282">EA21*3/5+EB21*3/5</f>
        <v>798.6</v>
      </c>
      <c r="EW21" s="10">
        <f t="shared" ref="EW21:EW31" si="283">EB21*2/5+EC21*1/5</f>
        <v>410.8</v>
      </c>
      <c r="EX21" s="10">
        <f t="shared" si="280"/>
        <v>6403</v>
      </c>
      <c r="EY21" s="10">
        <f t="shared" ref="EY21:EY31" si="284">SUM(EO21:ET21)</f>
        <v>3916</v>
      </c>
      <c r="EZ21" s="14">
        <f t="shared" ref="EZ21:EZ31" si="285">EX21/EU21</f>
        <v>0.35641525187865292</v>
      </c>
      <c r="FA21" s="14">
        <f t="shared" ref="FA21:FA31" si="286">EY21/EU21</f>
        <v>0.21797940439743946</v>
      </c>
      <c r="FB21" s="10">
        <f>SUM(ED21:EG21)</f>
        <v>3567</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1200</v>
      </c>
      <c r="EA22" s="16">
        <f t="shared" ref="EA22:ET22" si="287">EA20+EA21</f>
        <v>1306</v>
      </c>
      <c r="EB22" s="16">
        <f t="shared" si="287"/>
        <v>1457</v>
      </c>
      <c r="EC22" s="16">
        <f t="shared" si="287"/>
        <v>1405</v>
      </c>
      <c r="ED22" s="16">
        <f t="shared" si="287"/>
        <v>1140</v>
      </c>
      <c r="EE22" s="16">
        <f t="shared" si="287"/>
        <v>2185</v>
      </c>
      <c r="EF22" s="16">
        <f t="shared" si="287"/>
        <v>2128</v>
      </c>
      <c r="EG22" s="16">
        <f t="shared" si="287"/>
        <v>2225</v>
      </c>
      <c r="EH22" s="16">
        <f t="shared" si="287"/>
        <v>1789</v>
      </c>
      <c r="EI22" s="16">
        <f t="shared" si="287"/>
        <v>2172</v>
      </c>
      <c r="EJ22" s="16">
        <f t="shared" si="287"/>
        <v>2367</v>
      </c>
      <c r="EK22" s="16">
        <f t="shared" si="287"/>
        <v>2092</v>
      </c>
      <c r="EL22" s="16">
        <f t="shared" si="287"/>
        <v>2199</v>
      </c>
      <c r="EM22" s="16">
        <f t="shared" si="287"/>
        <v>2198</v>
      </c>
      <c r="EN22" s="16">
        <f t="shared" si="287"/>
        <v>2429</v>
      </c>
      <c r="EO22" s="16">
        <f t="shared" si="287"/>
        <v>2462</v>
      </c>
      <c r="EP22" s="16">
        <f t="shared" si="287"/>
        <v>1597</v>
      </c>
      <c r="EQ22" s="16">
        <f t="shared" si="287"/>
        <v>1213</v>
      </c>
      <c r="ER22" s="16">
        <f t="shared" si="287"/>
        <v>773</v>
      </c>
      <c r="ES22" s="16">
        <f t="shared" si="287"/>
        <v>257</v>
      </c>
      <c r="ET22" s="16">
        <f t="shared" si="287"/>
        <v>45</v>
      </c>
      <c r="EU22" s="11">
        <f>SUM(DZ22:ET22)</f>
        <v>34639</v>
      </c>
      <c r="EV22" s="11">
        <f t="shared" si="282"/>
        <v>1657.8000000000002</v>
      </c>
      <c r="EW22" s="11">
        <f t="shared" si="283"/>
        <v>863.8</v>
      </c>
      <c r="EX22" s="11">
        <f t="shared" si="280"/>
        <v>10974</v>
      </c>
      <c r="EY22" s="11">
        <f t="shared" si="284"/>
        <v>6347</v>
      </c>
      <c r="EZ22" s="15">
        <f t="shared" si="285"/>
        <v>0.31681053148185573</v>
      </c>
      <c r="FA22" s="15">
        <f t="shared" si="286"/>
        <v>0.18323277230866941</v>
      </c>
      <c r="FB22" s="11">
        <f>SUM(ED22:EG22)</f>
        <v>7678</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945</v>
      </c>
      <c r="EA23" s="9">
        <f t="shared" si="288"/>
        <v>557</v>
      </c>
      <c r="EB23" s="9">
        <f t="shared" si="288"/>
        <v>620</v>
      </c>
      <c r="EC23" s="9">
        <f t="shared" si="288"/>
        <v>646</v>
      </c>
      <c r="ED23" s="9">
        <f t="shared" si="288"/>
        <v>579</v>
      </c>
      <c r="EE23" s="9">
        <f t="shared" si="288"/>
        <v>1138</v>
      </c>
      <c r="EF23" s="9">
        <f t="shared" si="288"/>
        <v>1462</v>
      </c>
      <c r="EG23" s="9">
        <f t="shared" si="288"/>
        <v>1426</v>
      </c>
      <c r="EH23" s="9">
        <f t="shared" si="288"/>
        <v>1053</v>
      </c>
      <c r="EI23" s="9">
        <f t="shared" si="288"/>
        <v>900</v>
      </c>
      <c r="EJ23" s="9">
        <f t="shared" si="288"/>
        <v>1049</v>
      </c>
      <c r="EK23" s="9">
        <f t="shared" si="288"/>
        <v>1205</v>
      </c>
      <c r="EL23" s="9">
        <f t="shared" si="288"/>
        <v>968</v>
      </c>
      <c r="EM23" s="9">
        <f t="shared" si="288"/>
        <v>969</v>
      </c>
      <c r="EN23" s="9">
        <f t="shared" si="288"/>
        <v>930</v>
      </c>
      <c r="EO23" s="9">
        <f t="shared" si="288"/>
        <v>962</v>
      </c>
      <c r="EP23" s="9">
        <f t="shared" si="288"/>
        <v>879</v>
      </c>
      <c r="EQ23" s="9">
        <f t="shared" si="288"/>
        <v>390</v>
      </c>
      <c r="ER23" s="9">
        <f t="shared" si="288"/>
        <v>208</v>
      </c>
      <c r="ES23" s="9">
        <f t="shared" si="288"/>
        <v>61</v>
      </c>
      <c r="ET23" s="9">
        <f t="shared" si="288"/>
        <v>4</v>
      </c>
      <c r="EU23" s="9">
        <f t="shared" ref="EU23:EU31" si="289">SUM(DZ23:ET23)</f>
        <v>16951</v>
      </c>
      <c r="EV23" s="9">
        <f t="shared" si="282"/>
        <v>706.2</v>
      </c>
      <c r="EW23" s="9">
        <f t="shared" si="283"/>
        <v>377.2</v>
      </c>
      <c r="EX23" s="9">
        <f t="shared" si="280"/>
        <v>4403</v>
      </c>
      <c r="EY23" s="9">
        <f t="shared" si="284"/>
        <v>2504</v>
      </c>
      <c r="EZ23" s="13">
        <f t="shared" si="285"/>
        <v>0.25974868739307416</v>
      </c>
      <c r="FA23" s="13">
        <f t="shared" si="286"/>
        <v>0.1477198985310601</v>
      </c>
      <c r="FB23" s="9">
        <f t="shared" ref="FB23:FB31" si="290">SUM(ED23:EG23)</f>
        <v>4605</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902</v>
      </c>
      <c r="EA24" s="10">
        <f t="shared" si="291"/>
        <v>554</v>
      </c>
      <c r="EB24" s="10">
        <f t="shared" si="291"/>
        <v>614</v>
      </c>
      <c r="EC24" s="10">
        <f t="shared" si="291"/>
        <v>591</v>
      </c>
      <c r="ED24" s="10">
        <f t="shared" si="291"/>
        <v>495</v>
      </c>
      <c r="EE24" s="10">
        <f t="shared" si="291"/>
        <v>918</v>
      </c>
      <c r="EF24" s="10">
        <f t="shared" si="291"/>
        <v>1267</v>
      </c>
      <c r="EG24" s="10">
        <f t="shared" si="291"/>
        <v>1225</v>
      </c>
      <c r="EH24" s="10">
        <f t="shared" si="291"/>
        <v>1072</v>
      </c>
      <c r="EI24" s="10">
        <f t="shared" si="291"/>
        <v>851</v>
      </c>
      <c r="EJ24" s="10">
        <f t="shared" si="291"/>
        <v>1072</v>
      </c>
      <c r="EK24" s="10">
        <f t="shared" si="291"/>
        <v>1156</v>
      </c>
      <c r="EL24" s="10">
        <f t="shared" si="291"/>
        <v>1033</v>
      </c>
      <c r="EM24" s="10">
        <f t="shared" si="291"/>
        <v>1115</v>
      </c>
      <c r="EN24" s="10">
        <f t="shared" si="291"/>
        <v>1109</v>
      </c>
      <c r="EO24" s="10">
        <f t="shared" si="291"/>
        <v>1241</v>
      </c>
      <c r="EP24" s="10">
        <f t="shared" si="291"/>
        <v>1188</v>
      </c>
      <c r="EQ24" s="10">
        <f t="shared" si="291"/>
        <v>762</v>
      </c>
      <c r="ER24" s="10">
        <f t="shared" si="291"/>
        <v>493</v>
      </c>
      <c r="ES24" s="10">
        <f t="shared" si="291"/>
        <v>220</v>
      </c>
      <c r="ET24" s="10">
        <f t="shared" si="291"/>
        <v>50</v>
      </c>
      <c r="EU24" s="10">
        <f t="shared" si="289"/>
        <v>17928</v>
      </c>
      <c r="EV24" s="10">
        <f t="shared" si="282"/>
        <v>700.8</v>
      </c>
      <c r="EW24" s="10">
        <f t="shared" si="283"/>
        <v>363.8</v>
      </c>
      <c r="EX24" s="10">
        <f t="shared" si="280"/>
        <v>6178</v>
      </c>
      <c r="EY24" s="10">
        <f t="shared" si="284"/>
        <v>3954</v>
      </c>
      <c r="EZ24" s="14">
        <f t="shared" si="285"/>
        <v>0.34460062472110664</v>
      </c>
      <c r="FA24" s="14">
        <f t="shared" si="286"/>
        <v>0.22054886211512717</v>
      </c>
      <c r="FB24" s="10">
        <f t="shared" si="290"/>
        <v>3905</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1847</v>
      </c>
      <c r="EA25" s="16">
        <f t="shared" ref="EA25:ET25" si="292">EA23+EA24</f>
        <v>1111</v>
      </c>
      <c r="EB25" s="16">
        <f t="shared" si="292"/>
        <v>1234</v>
      </c>
      <c r="EC25" s="16">
        <f t="shared" si="292"/>
        <v>1237</v>
      </c>
      <c r="ED25" s="16">
        <f t="shared" si="292"/>
        <v>1074</v>
      </c>
      <c r="EE25" s="16">
        <f t="shared" si="292"/>
        <v>2056</v>
      </c>
      <c r="EF25" s="16">
        <f t="shared" si="292"/>
        <v>2729</v>
      </c>
      <c r="EG25" s="16">
        <f t="shared" si="292"/>
        <v>2651</v>
      </c>
      <c r="EH25" s="16">
        <f t="shared" si="292"/>
        <v>2125</v>
      </c>
      <c r="EI25" s="16">
        <f t="shared" si="292"/>
        <v>1751</v>
      </c>
      <c r="EJ25" s="16">
        <f t="shared" si="292"/>
        <v>2121</v>
      </c>
      <c r="EK25" s="16">
        <f t="shared" si="292"/>
        <v>2361</v>
      </c>
      <c r="EL25" s="16">
        <f t="shared" si="292"/>
        <v>2001</v>
      </c>
      <c r="EM25" s="16">
        <f t="shared" si="292"/>
        <v>2084</v>
      </c>
      <c r="EN25" s="16">
        <f t="shared" si="292"/>
        <v>2039</v>
      </c>
      <c r="EO25" s="16">
        <f t="shared" si="292"/>
        <v>2203</v>
      </c>
      <c r="EP25" s="16">
        <f t="shared" si="292"/>
        <v>2067</v>
      </c>
      <c r="EQ25" s="16">
        <f t="shared" si="292"/>
        <v>1152</v>
      </c>
      <c r="ER25" s="16">
        <f t="shared" si="292"/>
        <v>701</v>
      </c>
      <c r="ES25" s="16">
        <f t="shared" si="292"/>
        <v>281</v>
      </c>
      <c r="ET25" s="16">
        <f t="shared" si="292"/>
        <v>54</v>
      </c>
      <c r="EU25" s="11">
        <f t="shared" si="289"/>
        <v>34879</v>
      </c>
      <c r="EV25" s="11">
        <f t="shared" si="282"/>
        <v>1407</v>
      </c>
      <c r="EW25" s="11">
        <f t="shared" si="283"/>
        <v>741</v>
      </c>
      <c r="EX25" s="11">
        <f t="shared" si="280"/>
        <v>10581</v>
      </c>
      <c r="EY25" s="11">
        <f t="shared" si="284"/>
        <v>6458</v>
      </c>
      <c r="EZ25" s="15">
        <f t="shared" si="285"/>
        <v>0.3033630551334614</v>
      </c>
      <c r="FA25" s="15">
        <f t="shared" si="286"/>
        <v>0.18515439089423436</v>
      </c>
      <c r="FB25" s="11">
        <f t="shared" si="290"/>
        <v>8510</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978</v>
      </c>
      <c r="EA26" s="9">
        <f t="shared" si="293"/>
        <v>857</v>
      </c>
      <c r="EB26" s="9">
        <f t="shared" si="293"/>
        <v>528</v>
      </c>
      <c r="EC26" s="9">
        <f t="shared" si="293"/>
        <v>516</v>
      </c>
      <c r="ED26" s="9">
        <f t="shared" si="293"/>
        <v>527</v>
      </c>
      <c r="EE26" s="9">
        <f t="shared" si="293"/>
        <v>1080</v>
      </c>
      <c r="EF26" s="9">
        <f t="shared" si="293"/>
        <v>1405</v>
      </c>
      <c r="EG26" s="9">
        <f t="shared" si="293"/>
        <v>1685</v>
      </c>
      <c r="EH26" s="9">
        <f t="shared" si="293"/>
        <v>1357</v>
      </c>
      <c r="EI26" s="9">
        <f t="shared" si="293"/>
        <v>1054</v>
      </c>
      <c r="EJ26" s="9">
        <f t="shared" si="293"/>
        <v>868</v>
      </c>
      <c r="EK26" s="9">
        <f t="shared" si="293"/>
        <v>1057</v>
      </c>
      <c r="EL26" s="9">
        <f t="shared" si="293"/>
        <v>1136</v>
      </c>
      <c r="EM26" s="9">
        <f t="shared" si="293"/>
        <v>917</v>
      </c>
      <c r="EN26" s="9">
        <f t="shared" si="293"/>
        <v>870</v>
      </c>
      <c r="EO26" s="9">
        <f t="shared" si="293"/>
        <v>811</v>
      </c>
      <c r="EP26" s="9">
        <f t="shared" si="293"/>
        <v>758</v>
      </c>
      <c r="EQ26" s="9">
        <f t="shared" si="293"/>
        <v>555</v>
      </c>
      <c r="ER26" s="9">
        <f t="shared" si="293"/>
        <v>190</v>
      </c>
      <c r="ES26" s="9">
        <f t="shared" si="293"/>
        <v>57</v>
      </c>
      <c r="ET26" s="9">
        <f t="shared" si="293"/>
        <v>5</v>
      </c>
      <c r="EU26" s="9">
        <f t="shared" si="289"/>
        <v>17211</v>
      </c>
      <c r="EV26" s="9">
        <f t="shared" si="282"/>
        <v>831</v>
      </c>
      <c r="EW26" s="9">
        <f t="shared" si="283"/>
        <v>314.39999999999998</v>
      </c>
      <c r="EX26" s="9">
        <f t="shared" si="280"/>
        <v>4163</v>
      </c>
      <c r="EY26" s="9">
        <f t="shared" si="284"/>
        <v>2376</v>
      </c>
      <c r="EZ26" s="13">
        <f t="shared" si="285"/>
        <v>0.2418801928998896</v>
      </c>
      <c r="FA26" s="13">
        <f t="shared" si="286"/>
        <v>0.13805124629597351</v>
      </c>
      <c r="FB26" s="9">
        <f t="shared" si="290"/>
        <v>4697</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933</v>
      </c>
      <c r="EA27" s="10">
        <f t="shared" si="294"/>
        <v>852</v>
      </c>
      <c r="EB27" s="10">
        <f t="shared" si="294"/>
        <v>523</v>
      </c>
      <c r="EC27" s="10">
        <f t="shared" si="294"/>
        <v>534</v>
      </c>
      <c r="ED27" s="10">
        <f t="shared" si="294"/>
        <v>422</v>
      </c>
      <c r="EE27" s="10">
        <f t="shared" si="294"/>
        <v>895</v>
      </c>
      <c r="EF27" s="10">
        <f t="shared" si="294"/>
        <v>1204</v>
      </c>
      <c r="EG27" s="10">
        <f t="shared" si="294"/>
        <v>1521</v>
      </c>
      <c r="EH27" s="10">
        <f t="shared" si="294"/>
        <v>1173</v>
      </c>
      <c r="EI27" s="10">
        <f t="shared" si="294"/>
        <v>1026</v>
      </c>
      <c r="EJ27" s="10">
        <f t="shared" si="294"/>
        <v>842</v>
      </c>
      <c r="EK27" s="10">
        <f t="shared" si="294"/>
        <v>1058</v>
      </c>
      <c r="EL27" s="10">
        <f t="shared" si="294"/>
        <v>1122</v>
      </c>
      <c r="EM27" s="10">
        <f t="shared" si="294"/>
        <v>980</v>
      </c>
      <c r="EN27" s="10">
        <f t="shared" si="294"/>
        <v>1063</v>
      </c>
      <c r="EO27" s="10">
        <f t="shared" si="294"/>
        <v>1038</v>
      </c>
      <c r="EP27" s="10">
        <f t="shared" si="294"/>
        <v>1095</v>
      </c>
      <c r="EQ27" s="10">
        <f t="shared" si="294"/>
        <v>925</v>
      </c>
      <c r="ER27" s="10">
        <f t="shared" si="294"/>
        <v>479</v>
      </c>
      <c r="ES27" s="10">
        <f t="shared" si="294"/>
        <v>196</v>
      </c>
      <c r="ET27" s="10">
        <f t="shared" si="294"/>
        <v>53</v>
      </c>
      <c r="EU27" s="10">
        <f t="shared" si="289"/>
        <v>17934</v>
      </c>
      <c r="EV27" s="10">
        <f t="shared" si="282"/>
        <v>825</v>
      </c>
      <c r="EW27" s="10">
        <f t="shared" si="283"/>
        <v>316</v>
      </c>
      <c r="EX27" s="10">
        <f t="shared" si="280"/>
        <v>5829</v>
      </c>
      <c r="EY27" s="10">
        <f t="shared" si="284"/>
        <v>3786</v>
      </c>
      <c r="EZ27" s="14">
        <f t="shared" si="285"/>
        <v>0.32502509200401469</v>
      </c>
      <c r="FA27" s="14">
        <f t="shared" si="286"/>
        <v>0.21110739377718302</v>
      </c>
      <c r="FB27" s="10">
        <f t="shared" si="290"/>
        <v>4042</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1911</v>
      </c>
      <c r="EA28" s="16">
        <f t="shared" ref="EA28:ET28" si="295">EA26+EA27</f>
        <v>1709</v>
      </c>
      <c r="EB28" s="16">
        <f t="shared" si="295"/>
        <v>1051</v>
      </c>
      <c r="EC28" s="16">
        <f t="shared" si="295"/>
        <v>1050</v>
      </c>
      <c r="ED28" s="16">
        <f t="shared" si="295"/>
        <v>949</v>
      </c>
      <c r="EE28" s="16">
        <f t="shared" si="295"/>
        <v>1975</v>
      </c>
      <c r="EF28" s="16">
        <f t="shared" si="295"/>
        <v>2609</v>
      </c>
      <c r="EG28" s="16">
        <f t="shared" si="295"/>
        <v>3206</v>
      </c>
      <c r="EH28" s="16">
        <f t="shared" si="295"/>
        <v>2530</v>
      </c>
      <c r="EI28" s="16">
        <f t="shared" si="295"/>
        <v>2080</v>
      </c>
      <c r="EJ28" s="16">
        <f t="shared" si="295"/>
        <v>1710</v>
      </c>
      <c r="EK28" s="16">
        <f t="shared" si="295"/>
        <v>2115</v>
      </c>
      <c r="EL28" s="16">
        <f t="shared" si="295"/>
        <v>2258</v>
      </c>
      <c r="EM28" s="16">
        <f t="shared" si="295"/>
        <v>1897</v>
      </c>
      <c r="EN28" s="16">
        <f t="shared" si="295"/>
        <v>1933</v>
      </c>
      <c r="EO28" s="16">
        <f t="shared" si="295"/>
        <v>1849</v>
      </c>
      <c r="EP28" s="16">
        <f t="shared" si="295"/>
        <v>1853</v>
      </c>
      <c r="EQ28" s="16">
        <f t="shared" si="295"/>
        <v>1480</v>
      </c>
      <c r="ER28" s="16">
        <f t="shared" si="295"/>
        <v>669</v>
      </c>
      <c r="ES28" s="16">
        <f t="shared" si="295"/>
        <v>253</v>
      </c>
      <c r="ET28" s="16">
        <f t="shared" si="295"/>
        <v>58</v>
      </c>
      <c r="EU28" s="11">
        <f t="shared" si="289"/>
        <v>35145</v>
      </c>
      <c r="EV28" s="11">
        <f t="shared" si="282"/>
        <v>1656</v>
      </c>
      <c r="EW28" s="11">
        <f t="shared" si="283"/>
        <v>630.4</v>
      </c>
      <c r="EX28" s="11">
        <f t="shared" si="280"/>
        <v>9992</v>
      </c>
      <c r="EY28" s="11">
        <f t="shared" si="284"/>
        <v>6162</v>
      </c>
      <c r="EZ28" s="15">
        <f t="shared" si="285"/>
        <v>0.28430786740645897</v>
      </c>
      <c r="FA28" s="15">
        <f t="shared" si="286"/>
        <v>0.17533077251387111</v>
      </c>
      <c r="FB28" s="11">
        <f t="shared" si="290"/>
        <v>8739</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929</v>
      </c>
      <c r="EA29" s="9">
        <f t="shared" si="296"/>
        <v>887</v>
      </c>
      <c r="EB29" s="9">
        <f t="shared" si="296"/>
        <v>812</v>
      </c>
      <c r="EC29" s="9">
        <f t="shared" si="296"/>
        <v>439</v>
      </c>
      <c r="ED29" s="9">
        <f t="shared" si="296"/>
        <v>420</v>
      </c>
      <c r="EE29" s="9">
        <f t="shared" si="296"/>
        <v>1013</v>
      </c>
      <c r="EF29" s="9">
        <f t="shared" si="296"/>
        <v>1351</v>
      </c>
      <c r="EG29" s="9">
        <f t="shared" si="296"/>
        <v>1632</v>
      </c>
      <c r="EH29" s="9">
        <f t="shared" si="296"/>
        <v>1604</v>
      </c>
      <c r="EI29" s="9">
        <f t="shared" si="296"/>
        <v>1358</v>
      </c>
      <c r="EJ29" s="9">
        <f t="shared" si="296"/>
        <v>1016</v>
      </c>
      <c r="EK29" s="9">
        <f t="shared" si="296"/>
        <v>875</v>
      </c>
      <c r="EL29" s="9">
        <f t="shared" si="296"/>
        <v>997</v>
      </c>
      <c r="EM29" s="9">
        <f t="shared" si="296"/>
        <v>1076</v>
      </c>
      <c r="EN29" s="9">
        <f t="shared" si="296"/>
        <v>823</v>
      </c>
      <c r="EO29" s="9">
        <f t="shared" si="296"/>
        <v>758</v>
      </c>
      <c r="EP29" s="9">
        <f t="shared" si="296"/>
        <v>639</v>
      </c>
      <c r="EQ29" s="9">
        <f t="shared" si="296"/>
        <v>479</v>
      </c>
      <c r="ER29" s="9">
        <f t="shared" si="296"/>
        <v>270</v>
      </c>
      <c r="ES29" s="9">
        <f t="shared" si="296"/>
        <v>52</v>
      </c>
      <c r="ET29" s="9">
        <f t="shared" si="296"/>
        <v>5</v>
      </c>
      <c r="EU29" s="9">
        <f t="shared" si="289"/>
        <v>17435</v>
      </c>
      <c r="EV29" s="9">
        <f t="shared" si="282"/>
        <v>1019.4000000000001</v>
      </c>
      <c r="EW29" s="9">
        <f t="shared" si="283"/>
        <v>412.6</v>
      </c>
      <c r="EX29" s="9">
        <f t="shared" si="280"/>
        <v>4102</v>
      </c>
      <c r="EY29" s="9">
        <f t="shared" si="284"/>
        <v>2203</v>
      </c>
      <c r="EZ29" s="13">
        <f t="shared" si="285"/>
        <v>0.23527387439059363</v>
      </c>
      <c r="FA29" s="13">
        <f t="shared" si="286"/>
        <v>0.12635503297963865</v>
      </c>
      <c r="FB29" s="9">
        <f t="shared" si="290"/>
        <v>4416</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887</v>
      </c>
      <c r="EA30" s="10">
        <f t="shared" si="297"/>
        <v>882</v>
      </c>
      <c r="EB30" s="10">
        <f t="shared" si="297"/>
        <v>804</v>
      </c>
      <c r="EC30" s="10">
        <f t="shared" si="297"/>
        <v>455</v>
      </c>
      <c r="ED30" s="10">
        <f t="shared" si="297"/>
        <v>381</v>
      </c>
      <c r="EE30" s="10">
        <f t="shared" si="297"/>
        <v>814</v>
      </c>
      <c r="EF30" s="10">
        <f t="shared" si="297"/>
        <v>1182</v>
      </c>
      <c r="EG30" s="10">
        <f t="shared" si="297"/>
        <v>1463</v>
      </c>
      <c r="EH30" s="10">
        <f t="shared" si="297"/>
        <v>1457</v>
      </c>
      <c r="EI30" s="10">
        <f t="shared" si="297"/>
        <v>1123</v>
      </c>
      <c r="EJ30" s="10">
        <f t="shared" si="297"/>
        <v>1014</v>
      </c>
      <c r="EK30" s="10">
        <f t="shared" si="297"/>
        <v>831</v>
      </c>
      <c r="EL30" s="10">
        <f t="shared" si="297"/>
        <v>1027</v>
      </c>
      <c r="EM30" s="10">
        <f t="shared" si="297"/>
        <v>1064</v>
      </c>
      <c r="EN30" s="10">
        <f t="shared" si="297"/>
        <v>935</v>
      </c>
      <c r="EO30" s="10">
        <f t="shared" si="297"/>
        <v>996</v>
      </c>
      <c r="EP30" s="10">
        <f t="shared" si="297"/>
        <v>916</v>
      </c>
      <c r="EQ30" s="10">
        <f t="shared" si="297"/>
        <v>852</v>
      </c>
      <c r="ER30" s="10">
        <f t="shared" si="297"/>
        <v>581</v>
      </c>
      <c r="ES30" s="10">
        <f t="shared" si="297"/>
        <v>190</v>
      </c>
      <c r="ET30" s="10">
        <f t="shared" si="297"/>
        <v>47</v>
      </c>
      <c r="EU30" s="10">
        <f t="shared" si="289"/>
        <v>17901</v>
      </c>
      <c r="EV30" s="10">
        <f t="shared" si="282"/>
        <v>1011.6</v>
      </c>
      <c r="EW30" s="10">
        <f t="shared" si="283"/>
        <v>412.6</v>
      </c>
      <c r="EX30" s="10">
        <f t="shared" si="280"/>
        <v>5581</v>
      </c>
      <c r="EY30" s="10">
        <f t="shared" si="284"/>
        <v>3582</v>
      </c>
      <c r="EZ30" s="14">
        <f t="shared" si="285"/>
        <v>0.311770292162449</v>
      </c>
      <c r="FA30" s="14">
        <f t="shared" si="286"/>
        <v>0.20010055304172952</v>
      </c>
      <c r="FB30" s="10">
        <f t="shared" si="290"/>
        <v>3840</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1816</v>
      </c>
      <c r="EA31" s="16">
        <f t="shared" ref="EA31:ET31" si="298">EA29+EA30</f>
        <v>1769</v>
      </c>
      <c r="EB31" s="16">
        <f t="shared" si="298"/>
        <v>1616</v>
      </c>
      <c r="EC31" s="16">
        <f t="shared" si="298"/>
        <v>894</v>
      </c>
      <c r="ED31" s="16">
        <f t="shared" si="298"/>
        <v>801</v>
      </c>
      <c r="EE31" s="16">
        <f t="shared" si="298"/>
        <v>1827</v>
      </c>
      <c r="EF31" s="16">
        <f t="shared" si="298"/>
        <v>2533</v>
      </c>
      <c r="EG31" s="16">
        <f t="shared" si="298"/>
        <v>3095</v>
      </c>
      <c r="EH31" s="16">
        <f t="shared" si="298"/>
        <v>3061</v>
      </c>
      <c r="EI31" s="16">
        <f t="shared" si="298"/>
        <v>2481</v>
      </c>
      <c r="EJ31" s="16">
        <f t="shared" si="298"/>
        <v>2030</v>
      </c>
      <c r="EK31" s="16">
        <f t="shared" si="298"/>
        <v>1706</v>
      </c>
      <c r="EL31" s="16">
        <f t="shared" si="298"/>
        <v>2024</v>
      </c>
      <c r="EM31" s="16">
        <f t="shared" si="298"/>
        <v>2140</v>
      </c>
      <c r="EN31" s="16">
        <f t="shared" si="298"/>
        <v>1758</v>
      </c>
      <c r="EO31" s="16">
        <f t="shared" si="298"/>
        <v>1754</v>
      </c>
      <c r="EP31" s="16">
        <f t="shared" si="298"/>
        <v>1555</v>
      </c>
      <c r="EQ31" s="16">
        <f t="shared" si="298"/>
        <v>1331</v>
      </c>
      <c r="ER31" s="16">
        <f t="shared" si="298"/>
        <v>851</v>
      </c>
      <c r="ES31" s="16">
        <f t="shared" si="298"/>
        <v>242</v>
      </c>
      <c r="ET31" s="16">
        <f t="shared" si="298"/>
        <v>52</v>
      </c>
      <c r="EU31" s="11">
        <f t="shared" si="289"/>
        <v>35336</v>
      </c>
      <c r="EV31" s="11">
        <f t="shared" si="282"/>
        <v>2031</v>
      </c>
      <c r="EW31" s="11">
        <f t="shared" si="283"/>
        <v>825.2</v>
      </c>
      <c r="EX31" s="11">
        <f t="shared" si="280"/>
        <v>9683</v>
      </c>
      <c r="EY31" s="11">
        <f t="shared" si="284"/>
        <v>5785</v>
      </c>
      <c r="EZ31" s="15">
        <f t="shared" si="285"/>
        <v>0.27402648856690059</v>
      </c>
      <c r="FA31" s="15">
        <f t="shared" si="286"/>
        <v>0.16371405931627803</v>
      </c>
      <c r="FB31" s="11">
        <f t="shared" si="290"/>
        <v>8256</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18195</v>
      </c>
      <c r="D4" s="17">
        <f>SUM(C41:C61)</f>
        <v>20635</v>
      </c>
      <c r="E4" s="17">
        <f>C4+D4</f>
        <v>38830</v>
      </c>
      <c r="F4" s="85"/>
      <c r="G4" s="1" t="s">
        <v>58</v>
      </c>
      <c r="H4" s="1">
        <f>B4</f>
        <v>2010</v>
      </c>
      <c r="I4" s="17">
        <f>C4</f>
        <v>18195</v>
      </c>
      <c r="J4" s="17">
        <f>D4</f>
        <v>20635</v>
      </c>
      <c r="K4" s="17">
        <f>I4+J4</f>
        <v>38830</v>
      </c>
      <c r="N4" s="1" t="s">
        <v>58</v>
      </c>
      <c r="O4" s="1">
        <f>H4</f>
        <v>2010</v>
      </c>
      <c r="P4" s="17">
        <f>I4</f>
        <v>18195</v>
      </c>
      <c r="Q4" s="17">
        <f t="shared" ref="Q4:R4" si="0">J4</f>
        <v>20635</v>
      </c>
      <c r="R4" s="17">
        <f t="shared" si="0"/>
        <v>38830</v>
      </c>
      <c r="S4" s="1"/>
      <c r="T4" s="1"/>
      <c r="U4" s="1"/>
    </row>
    <row r="5" spans="1:21" x14ac:dyDescent="0.15">
      <c r="A5" s="1" t="s">
        <v>61</v>
      </c>
      <c r="B5" s="1">
        <f>管理者入力シート!B6</f>
        <v>2015</v>
      </c>
      <c r="C5" s="17">
        <f>SUM(B65:B85)</f>
        <v>17561</v>
      </c>
      <c r="D5" s="17">
        <f>SUM(C65:C85)</f>
        <v>19529</v>
      </c>
      <c r="E5" s="17">
        <f t="shared" ref="E5" si="1">C5+D5</f>
        <v>37090</v>
      </c>
      <c r="F5" s="85"/>
      <c r="G5" s="1" t="s">
        <v>57</v>
      </c>
      <c r="H5" s="1">
        <f t="shared" ref="H5:H6" si="2">B5</f>
        <v>2015</v>
      </c>
      <c r="I5" s="17">
        <f t="shared" ref="I5" si="3">C5</f>
        <v>17561</v>
      </c>
      <c r="J5" s="17">
        <f>D5</f>
        <v>19529</v>
      </c>
      <c r="K5" s="17">
        <f t="shared" ref="K5:K10" si="4">I5+J5</f>
        <v>37090</v>
      </c>
      <c r="N5" s="1" t="s">
        <v>57</v>
      </c>
      <c r="O5" s="1">
        <f t="shared" ref="O5:O10" si="5">H5</f>
        <v>2015</v>
      </c>
      <c r="P5" s="17">
        <f t="shared" ref="P5:P10" si="6">I5</f>
        <v>17561</v>
      </c>
      <c r="Q5" s="17">
        <f t="shared" ref="Q5:Q10" si="7">J5</f>
        <v>19529</v>
      </c>
      <c r="R5" s="17">
        <f t="shared" ref="R5:R10" si="8">K5</f>
        <v>37090</v>
      </c>
      <c r="S5" s="1"/>
      <c r="T5" s="1"/>
      <c r="U5" s="1"/>
    </row>
    <row r="6" spans="1:21" x14ac:dyDescent="0.15">
      <c r="A6" s="1" t="s">
        <v>62</v>
      </c>
      <c r="B6" s="1">
        <f>管理者入力シート!B5</f>
        <v>2020</v>
      </c>
      <c r="C6" s="17">
        <f>SUM(B89:B109)</f>
        <v>16676</v>
      </c>
      <c r="D6" s="17">
        <f>SUM(C89:C109)</f>
        <v>18312</v>
      </c>
      <c r="E6" s="17">
        <f>C6+D6</f>
        <v>34988</v>
      </c>
      <c r="F6" s="85"/>
      <c r="G6" s="1" t="s">
        <v>62</v>
      </c>
      <c r="H6" s="1">
        <f t="shared" si="2"/>
        <v>2020</v>
      </c>
      <c r="I6" s="17">
        <f>C6</f>
        <v>16676</v>
      </c>
      <c r="J6" s="17">
        <f>D6</f>
        <v>18312</v>
      </c>
      <c r="K6" s="17">
        <f t="shared" si="4"/>
        <v>34988</v>
      </c>
      <c r="N6" s="1" t="s">
        <v>62</v>
      </c>
      <c r="O6" s="1">
        <f t="shared" si="5"/>
        <v>2020</v>
      </c>
      <c r="P6" s="17">
        <f t="shared" si="6"/>
        <v>16676</v>
      </c>
      <c r="Q6" s="17">
        <f t="shared" si="7"/>
        <v>18312</v>
      </c>
      <c r="R6" s="17">
        <f t="shared" si="8"/>
        <v>34988</v>
      </c>
      <c r="S6" s="1"/>
      <c r="T6" s="1"/>
      <c r="U6" s="1"/>
    </row>
    <row r="7" spans="1:21" x14ac:dyDescent="0.15">
      <c r="G7" s="1" t="s">
        <v>106</v>
      </c>
      <c r="H7" s="1">
        <f>管理者入力シート!B8</f>
        <v>2025</v>
      </c>
      <c r="I7" s="17">
        <f>SUM(H69:H89)</f>
        <v>15645</v>
      </c>
      <c r="J7" s="17">
        <f>SUM(I69:I89)</f>
        <v>16936</v>
      </c>
      <c r="K7" s="17">
        <f t="shared" si="4"/>
        <v>32581</v>
      </c>
      <c r="N7" s="1" t="s">
        <v>106</v>
      </c>
      <c r="O7" s="1">
        <f t="shared" si="5"/>
        <v>2025</v>
      </c>
      <c r="P7" s="17">
        <f t="shared" si="6"/>
        <v>15645</v>
      </c>
      <c r="Q7" s="17">
        <f t="shared" si="7"/>
        <v>16936</v>
      </c>
      <c r="R7" s="17">
        <f t="shared" si="8"/>
        <v>32581</v>
      </c>
      <c r="S7" s="236">
        <f>SUM(O69:O89)</f>
        <v>15649</v>
      </c>
      <c r="T7" s="236">
        <f>SUM(P69:P89)</f>
        <v>16941</v>
      </c>
      <c r="U7" s="236">
        <f>S7+T7</f>
        <v>32590</v>
      </c>
    </row>
    <row r="8" spans="1:21" x14ac:dyDescent="0.15">
      <c r="A8" s="69" t="s">
        <v>71</v>
      </c>
      <c r="G8" s="1" t="s">
        <v>107</v>
      </c>
      <c r="H8" s="1">
        <f>管理者入力シート!B9</f>
        <v>2030</v>
      </c>
      <c r="I8" s="17">
        <f>SUM(H93:H113)</f>
        <v>14557</v>
      </c>
      <c r="J8" s="17">
        <f>SUM(I93:I113)</f>
        <v>15543</v>
      </c>
      <c r="K8" s="17">
        <f t="shared" si="4"/>
        <v>30100</v>
      </c>
      <c r="N8" s="1" t="s">
        <v>107</v>
      </c>
      <c r="O8" s="1">
        <f t="shared" si="5"/>
        <v>2030</v>
      </c>
      <c r="P8" s="17">
        <f t="shared" si="6"/>
        <v>14557</v>
      </c>
      <c r="Q8" s="17">
        <f t="shared" si="7"/>
        <v>15543</v>
      </c>
      <c r="R8" s="17">
        <f t="shared" si="8"/>
        <v>30100</v>
      </c>
      <c r="S8" s="236">
        <f>SUM(O93:O113)</f>
        <v>14566</v>
      </c>
      <c r="T8" s="236">
        <f>SUM(P93:P113)</f>
        <v>15554</v>
      </c>
      <c r="U8" s="236">
        <f t="shared" ref="U8:U10" si="9">S8+T8</f>
        <v>30120</v>
      </c>
    </row>
    <row r="9" spans="1:21" x14ac:dyDescent="0.15">
      <c r="A9" s="2" t="s">
        <v>72</v>
      </c>
      <c r="G9" s="1" t="s">
        <v>108</v>
      </c>
      <c r="H9" s="1">
        <f>管理者入力シート!B10</f>
        <v>2035</v>
      </c>
      <c r="I9" s="17">
        <f>SUM(H117:H137)</f>
        <v>13459</v>
      </c>
      <c r="J9" s="17">
        <f>SUM(I117:I137)</f>
        <v>14198</v>
      </c>
      <c r="K9" s="17">
        <f t="shared" si="4"/>
        <v>27657</v>
      </c>
      <c r="N9" s="1" t="s">
        <v>108</v>
      </c>
      <c r="O9" s="1">
        <f t="shared" si="5"/>
        <v>2035</v>
      </c>
      <c r="P9" s="17">
        <f t="shared" si="6"/>
        <v>13459</v>
      </c>
      <c r="Q9" s="17">
        <f t="shared" si="7"/>
        <v>14198</v>
      </c>
      <c r="R9" s="17">
        <f t="shared" si="8"/>
        <v>27657</v>
      </c>
      <c r="S9" s="236">
        <f>SUM(O117:O137)</f>
        <v>13468</v>
      </c>
      <c r="T9" s="236">
        <f>SUM(P117:P137)</f>
        <v>14213</v>
      </c>
      <c r="U9" s="236">
        <f t="shared" si="9"/>
        <v>27681</v>
      </c>
    </row>
    <row r="10" spans="1:21" x14ac:dyDescent="0.15">
      <c r="A10" s="1" t="s">
        <v>58</v>
      </c>
      <c r="B10" s="1">
        <f>B4</f>
        <v>2010</v>
      </c>
      <c r="C10" s="17">
        <f>ROUND(VLOOKUP(B10&amp;"_3",管理者用人口入力シート!A:AA,26,FALSE),0)</f>
        <v>2297</v>
      </c>
      <c r="D10" s="12"/>
      <c r="E10" s="12"/>
      <c r="G10" s="1" t="s">
        <v>109</v>
      </c>
      <c r="H10" s="1">
        <f>管理者入力シート!B11</f>
        <v>2040</v>
      </c>
      <c r="I10" s="17">
        <f>SUM(H141:H161)</f>
        <v>12375</v>
      </c>
      <c r="J10" s="17">
        <f>SUM(I141:I161)</f>
        <v>12865</v>
      </c>
      <c r="K10" s="17">
        <f t="shared" si="4"/>
        <v>25240</v>
      </c>
      <c r="N10" s="1" t="s">
        <v>109</v>
      </c>
      <c r="O10" s="1">
        <f t="shared" si="5"/>
        <v>2040</v>
      </c>
      <c r="P10" s="17">
        <f t="shared" si="6"/>
        <v>12375</v>
      </c>
      <c r="Q10" s="17">
        <f t="shared" si="7"/>
        <v>12865</v>
      </c>
      <c r="R10" s="17">
        <f t="shared" si="8"/>
        <v>25240</v>
      </c>
      <c r="S10" s="236">
        <f>SUM(O141:O161)</f>
        <v>12393</v>
      </c>
      <c r="T10" s="236">
        <f>SUM(P141:P161)</f>
        <v>12886</v>
      </c>
      <c r="U10" s="236">
        <f t="shared" si="9"/>
        <v>25279</v>
      </c>
    </row>
    <row r="11" spans="1:21" x14ac:dyDescent="0.15">
      <c r="A11" s="1" t="s">
        <v>61</v>
      </c>
      <c r="B11" s="1">
        <f t="shared" ref="B11:B12" si="10">B5</f>
        <v>2015</v>
      </c>
      <c r="C11" s="17">
        <f>ROUND(VLOOKUP(B11&amp;"_3",管理者用人口入力シート!A:AA,26,FALSE),0)</f>
        <v>2130</v>
      </c>
      <c r="D11" s="12"/>
      <c r="E11" s="12"/>
      <c r="I11" s="12"/>
      <c r="J11" s="12"/>
      <c r="K11" s="12"/>
      <c r="P11" s="12"/>
    </row>
    <row r="12" spans="1:21" x14ac:dyDescent="0.15">
      <c r="A12" s="1" t="s">
        <v>62</v>
      </c>
      <c r="B12" s="1">
        <f t="shared" si="10"/>
        <v>2020</v>
      </c>
      <c r="C12" s="17">
        <f>ROUND(VLOOKUP(B12&amp;"_3",管理者用人口入力シート!A:AA,26,FALSE),0)</f>
        <v>1917</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1111</v>
      </c>
      <c r="D14" s="12"/>
      <c r="E14" s="12"/>
      <c r="G14" s="1" t="s">
        <v>58</v>
      </c>
      <c r="H14" s="1">
        <f>H4</f>
        <v>2010</v>
      </c>
      <c r="I14" s="17">
        <f>C10</f>
        <v>2297</v>
      </c>
      <c r="J14" s="12"/>
      <c r="K14" s="12"/>
      <c r="N14" s="1" t="s">
        <v>58</v>
      </c>
      <c r="O14" s="1">
        <f>O4</f>
        <v>2010</v>
      </c>
      <c r="P14" s="17">
        <f>I14</f>
        <v>2297</v>
      </c>
      <c r="Q14" s="17"/>
    </row>
    <row r="15" spans="1:21" x14ac:dyDescent="0.15">
      <c r="A15" s="1" t="s">
        <v>61</v>
      </c>
      <c r="B15" s="1">
        <f t="shared" ref="B15:B16" si="11">B5</f>
        <v>2015</v>
      </c>
      <c r="C15" s="17">
        <f>ROUND(VLOOKUP(B15&amp;"_3",管理者用人口入力シート!A:AA,27,FALSE),0)</f>
        <v>1054</v>
      </c>
      <c r="D15" s="12"/>
      <c r="E15" s="12"/>
      <c r="G15" s="1" t="s">
        <v>57</v>
      </c>
      <c r="H15" s="1">
        <f t="shared" ref="H15:H20" si="12">H5</f>
        <v>2015</v>
      </c>
      <c r="I15" s="17">
        <f>C11</f>
        <v>2130</v>
      </c>
      <c r="J15" s="12"/>
      <c r="K15" s="12"/>
      <c r="N15" s="1" t="s">
        <v>57</v>
      </c>
      <c r="O15" s="1">
        <f t="shared" ref="O15:O20" si="13">O5</f>
        <v>2015</v>
      </c>
      <c r="P15" s="17">
        <f t="shared" ref="P15:P20" si="14">I15</f>
        <v>2130</v>
      </c>
      <c r="Q15" s="17"/>
    </row>
    <row r="16" spans="1:21" x14ac:dyDescent="0.15">
      <c r="A16" s="1" t="s">
        <v>62</v>
      </c>
      <c r="B16" s="1">
        <f t="shared" si="11"/>
        <v>2020</v>
      </c>
      <c r="C16" s="17">
        <f>ROUND(VLOOKUP(B16&amp;"_3",管理者用人口入力シート!A:AA,27,FALSE),0)</f>
        <v>959</v>
      </c>
      <c r="D16" s="12"/>
      <c r="E16" s="12"/>
      <c r="G16" s="1" t="s">
        <v>62</v>
      </c>
      <c r="H16" s="1">
        <f t="shared" si="12"/>
        <v>2020</v>
      </c>
      <c r="I16" s="17">
        <f>C12</f>
        <v>1917</v>
      </c>
      <c r="J16" s="12"/>
      <c r="K16" s="12"/>
      <c r="N16" s="1" t="s">
        <v>62</v>
      </c>
      <c r="O16" s="1">
        <f t="shared" si="13"/>
        <v>2020</v>
      </c>
      <c r="P16" s="17">
        <f t="shared" si="14"/>
        <v>1917</v>
      </c>
      <c r="Q16" s="17"/>
    </row>
    <row r="17" spans="1:17" x14ac:dyDescent="0.15">
      <c r="G17" s="1" t="s">
        <v>106</v>
      </c>
      <c r="H17" s="1">
        <f t="shared" si="12"/>
        <v>2025</v>
      </c>
      <c r="I17" s="17">
        <f>ROUND(VLOOKUP(H17&amp;"_3",管理者用人口入力シート!BH:CM,26,FALSE),0)</f>
        <v>1658</v>
      </c>
      <c r="J17" s="12"/>
      <c r="K17" s="12"/>
      <c r="N17" s="1" t="s">
        <v>106</v>
      </c>
      <c r="O17" s="1">
        <f t="shared" si="13"/>
        <v>2025</v>
      </c>
      <c r="P17" s="17">
        <f t="shared" si="14"/>
        <v>1658</v>
      </c>
      <c r="Q17" s="17">
        <f>ROUND(VLOOKUP(H17&amp;"_3",管理者用人口入力シート!CO:DT,26,FALSE),0)</f>
        <v>1659</v>
      </c>
    </row>
    <row r="18" spans="1:17" x14ac:dyDescent="0.15">
      <c r="A18" s="69" t="s">
        <v>110</v>
      </c>
      <c r="G18" s="1" t="s">
        <v>107</v>
      </c>
      <c r="H18" s="1">
        <f t="shared" si="12"/>
        <v>2030</v>
      </c>
      <c r="I18" s="17">
        <f>ROUND(VLOOKUP(H18&amp;"_3",管理者用人口入力シート!BH:CM,26,FALSE),0)</f>
        <v>1407</v>
      </c>
      <c r="J18" s="12"/>
      <c r="K18" s="12"/>
      <c r="N18" s="1" t="s">
        <v>107</v>
      </c>
      <c r="O18" s="1">
        <f t="shared" si="13"/>
        <v>2030</v>
      </c>
      <c r="P18" s="17">
        <f t="shared" si="14"/>
        <v>1407</v>
      </c>
      <c r="Q18" s="17">
        <f>ROUND(VLOOKUP(H18&amp;"_3",管理者用人口入力シート!CO:DT,26,FALSE),0)</f>
        <v>1410</v>
      </c>
    </row>
    <row r="19" spans="1:17" x14ac:dyDescent="0.15">
      <c r="A19" s="2" t="s">
        <v>84</v>
      </c>
      <c r="G19" s="1" t="s">
        <v>108</v>
      </c>
      <c r="H19" s="1">
        <f t="shared" si="12"/>
        <v>2035</v>
      </c>
      <c r="I19" s="17">
        <f>ROUND(VLOOKUP(H19&amp;"_3",管理者用人口入力シート!BH:CM,26,FALSE),0)</f>
        <v>1217</v>
      </c>
      <c r="J19" s="12"/>
      <c r="K19" s="12"/>
      <c r="N19" s="1" t="s">
        <v>108</v>
      </c>
      <c r="O19" s="1">
        <f t="shared" si="13"/>
        <v>2035</v>
      </c>
      <c r="P19" s="17">
        <f t="shared" si="14"/>
        <v>1217</v>
      </c>
      <c r="Q19" s="17">
        <f>ROUND(VLOOKUP(H19&amp;"_3",管理者用人口入力シート!CO:DT,26,FALSE),0)</f>
        <v>1221</v>
      </c>
    </row>
    <row r="20" spans="1:17" x14ac:dyDescent="0.15">
      <c r="A20" s="1" t="s">
        <v>58</v>
      </c>
      <c r="B20" s="1">
        <f>B4</f>
        <v>2010</v>
      </c>
      <c r="C20" s="17">
        <f>SUM(B54:C61)</f>
        <v>9801</v>
      </c>
      <c r="D20" s="12"/>
      <c r="E20" s="12"/>
      <c r="G20" s="1" t="s">
        <v>109</v>
      </c>
      <c r="H20" s="1">
        <f t="shared" si="12"/>
        <v>2040</v>
      </c>
      <c r="I20" s="17">
        <f>ROUND(VLOOKUP(H20&amp;"_3",管理者用人口入力シート!BH:CM,26,FALSE),0)</f>
        <v>1099</v>
      </c>
      <c r="J20" s="12"/>
      <c r="K20" s="12"/>
      <c r="N20" s="1" t="s">
        <v>109</v>
      </c>
      <c r="O20" s="1">
        <f t="shared" si="13"/>
        <v>2040</v>
      </c>
      <c r="P20" s="17">
        <f t="shared" si="14"/>
        <v>1099</v>
      </c>
      <c r="Q20" s="17">
        <f>ROUND(VLOOKUP(H20&amp;"_3",管理者用人口入力シート!CO:DT,26,FALSE),0)</f>
        <v>1105</v>
      </c>
    </row>
    <row r="21" spans="1:17" x14ac:dyDescent="0.15">
      <c r="A21" s="1" t="s">
        <v>61</v>
      </c>
      <c r="B21" s="1">
        <f t="shared" ref="B21:B22" si="15">B5</f>
        <v>2015</v>
      </c>
      <c r="C21" s="17">
        <f>SUM(B78:C85)</f>
        <v>10606</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11205</v>
      </c>
      <c r="D22" s="12"/>
      <c r="E22" s="12"/>
      <c r="G22" s="1" t="s">
        <v>58</v>
      </c>
      <c r="H22" s="1">
        <f>H4</f>
        <v>2010</v>
      </c>
      <c r="I22" s="17">
        <f>C14</f>
        <v>1111</v>
      </c>
      <c r="J22" s="12"/>
      <c r="K22" s="12"/>
      <c r="N22" s="1" t="s">
        <v>58</v>
      </c>
      <c r="O22" s="1">
        <f>O4</f>
        <v>2010</v>
      </c>
      <c r="P22" s="17">
        <f>I22</f>
        <v>1111</v>
      </c>
      <c r="Q22" s="17"/>
    </row>
    <row r="23" spans="1:17" x14ac:dyDescent="0.15">
      <c r="A23" s="2" t="s">
        <v>86</v>
      </c>
      <c r="G23" s="1" t="s">
        <v>57</v>
      </c>
      <c r="H23" s="1">
        <f t="shared" ref="H23:H28" si="16">H5</f>
        <v>2015</v>
      </c>
      <c r="I23" s="17">
        <f t="shared" ref="I23:I24" si="17">C15</f>
        <v>1054</v>
      </c>
      <c r="J23" s="12"/>
      <c r="K23" s="12"/>
      <c r="N23" s="1" t="s">
        <v>57</v>
      </c>
      <c r="O23" s="1">
        <f t="shared" ref="O23:O28" si="18">O5</f>
        <v>2015</v>
      </c>
      <c r="P23" s="17">
        <f t="shared" ref="P23:P28" si="19">I23</f>
        <v>1054</v>
      </c>
      <c r="Q23" s="17"/>
    </row>
    <row r="24" spans="1:17" x14ac:dyDescent="0.15">
      <c r="A24" s="1" t="s">
        <v>58</v>
      </c>
      <c r="B24" s="1">
        <f>B4</f>
        <v>2010</v>
      </c>
      <c r="C24" s="17">
        <f>SUM(B56:C61)</f>
        <v>5368</v>
      </c>
      <c r="D24" s="12"/>
      <c r="E24" s="12"/>
      <c r="G24" s="1" t="s">
        <v>62</v>
      </c>
      <c r="H24" s="1">
        <f t="shared" si="16"/>
        <v>2020</v>
      </c>
      <c r="I24" s="17">
        <f t="shared" si="17"/>
        <v>959</v>
      </c>
      <c r="J24" s="12"/>
      <c r="K24" s="12"/>
      <c r="N24" s="1" t="s">
        <v>62</v>
      </c>
      <c r="O24" s="1">
        <f t="shared" si="18"/>
        <v>2020</v>
      </c>
      <c r="P24" s="17">
        <f t="shared" si="19"/>
        <v>959</v>
      </c>
      <c r="Q24" s="17"/>
    </row>
    <row r="25" spans="1:17" x14ac:dyDescent="0.15">
      <c r="A25" s="1" t="s">
        <v>61</v>
      </c>
      <c r="B25" s="1">
        <f t="shared" ref="B25:B26" si="20">B5</f>
        <v>2015</v>
      </c>
      <c r="C25" s="17">
        <f>SUM(B80:C85)</f>
        <v>5685</v>
      </c>
      <c r="D25" s="12"/>
      <c r="E25" s="12"/>
      <c r="G25" s="1" t="s">
        <v>106</v>
      </c>
      <c r="H25" s="1">
        <f t="shared" si="16"/>
        <v>2025</v>
      </c>
      <c r="I25" s="17">
        <f>ROUND(VLOOKUP(H25&amp;"_3",管理者用人口入力シート!BH:CM,27,FALSE),0)</f>
        <v>864</v>
      </c>
      <c r="J25" s="12"/>
      <c r="K25" s="12"/>
      <c r="N25" s="1" t="s">
        <v>106</v>
      </c>
      <c r="O25" s="1">
        <f t="shared" si="18"/>
        <v>2025</v>
      </c>
      <c r="P25" s="17">
        <f t="shared" si="19"/>
        <v>864</v>
      </c>
      <c r="Q25" s="17">
        <f>ROUND(VLOOKUP(H17&amp;"_3",管理者用人口入力シート!CO:DT,27,FALSE),0)</f>
        <v>865</v>
      </c>
    </row>
    <row r="26" spans="1:17" x14ac:dyDescent="0.15">
      <c r="A26" s="1" t="s">
        <v>62</v>
      </c>
      <c r="B26" s="1">
        <f t="shared" si="20"/>
        <v>2020</v>
      </c>
      <c r="C26" s="17">
        <f>SUM(B104:C109)</f>
        <v>5868</v>
      </c>
      <c r="D26" s="12"/>
      <c r="E26" s="12"/>
      <c r="G26" s="1" t="s">
        <v>107</v>
      </c>
      <c r="H26" s="1">
        <f t="shared" si="16"/>
        <v>2030</v>
      </c>
      <c r="I26" s="17">
        <f>ROUND(VLOOKUP(H26&amp;"_3",管理者用人口入力シート!BH:CM,27,FALSE),0)</f>
        <v>741</v>
      </c>
      <c r="J26" s="12"/>
      <c r="K26" s="12"/>
      <c r="N26" s="1" t="s">
        <v>107</v>
      </c>
      <c r="O26" s="1">
        <f t="shared" si="18"/>
        <v>2030</v>
      </c>
      <c r="P26" s="17">
        <f t="shared" si="19"/>
        <v>741</v>
      </c>
      <c r="Q26" s="17">
        <f>ROUND(VLOOKUP(H18&amp;"_3",管理者用人口入力シート!CO:DT,27,FALSE),0)</f>
        <v>742</v>
      </c>
    </row>
    <row r="27" spans="1:17" x14ac:dyDescent="0.15">
      <c r="G27" s="1" t="s">
        <v>108</v>
      </c>
      <c r="H27" s="1">
        <f t="shared" si="16"/>
        <v>2035</v>
      </c>
      <c r="I27" s="17">
        <f>ROUND(VLOOKUP(H27&amp;"_3",管理者用人口入力シート!BH:CM,27,FALSE),0)</f>
        <v>630</v>
      </c>
      <c r="J27" s="12"/>
      <c r="K27" s="12"/>
      <c r="N27" s="1" t="s">
        <v>108</v>
      </c>
      <c r="O27" s="1">
        <f t="shared" si="18"/>
        <v>2035</v>
      </c>
      <c r="P27" s="17">
        <f t="shared" si="19"/>
        <v>630</v>
      </c>
      <c r="Q27" s="17">
        <f>ROUND(VLOOKUP(H19&amp;"_3",管理者用人口入力シート!CO:DT,27,FALSE),0)</f>
        <v>632</v>
      </c>
    </row>
    <row r="28" spans="1:17" x14ac:dyDescent="0.15">
      <c r="A28" s="69" t="s">
        <v>85</v>
      </c>
      <c r="G28" s="1" t="s">
        <v>109</v>
      </c>
      <c r="H28" s="1">
        <f t="shared" si="16"/>
        <v>2040</v>
      </c>
      <c r="I28" s="17">
        <f>ROUND(VLOOKUP(H28&amp;"_3",管理者用人口入力シート!BH:CM,27,FALSE),0)</f>
        <v>548</v>
      </c>
      <c r="J28" s="12"/>
      <c r="K28" s="12"/>
      <c r="N28" s="1" t="s">
        <v>109</v>
      </c>
      <c r="O28" s="1">
        <f t="shared" si="18"/>
        <v>2040</v>
      </c>
      <c r="P28" s="17">
        <f t="shared" si="19"/>
        <v>548</v>
      </c>
      <c r="Q28" s="17">
        <f>ROUND(VLOOKUP(H20&amp;"_3",管理者用人口入力シート!CO:DT,27,FALSE),0)</f>
        <v>551</v>
      </c>
    </row>
    <row r="29" spans="1:17" x14ac:dyDescent="0.15">
      <c r="A29" s="2" t="s">
        <v>84</v>
      </c>
    </row>
    <row r="30" spans="1:17" x14ac:dyDescent="0.15">
      <c r="A30" s="1" t="s">
        <v>58</v>
      </c>
      <c r="B30" s="1">
        <f>B4</f>
        <v>2010</v>
      </c>
      <c r="C30" s="38">
        <f>ROUND((SUM(B54:C61)/SUM(B41:C61)),2)</f>
        <v>0.25</v>
      </c>
      <c r="D30" s="205"/>
      <c r="E30" s="205"/>
      <c r="G30" s="69" t="s">
        <v>110</v>
      </c>
      <c r="N30" s="69" t="s">
        <v>110</v>
      </c>
    </row>
    <row r="31" spans="1:17" x14ac:dyDescent="0.15">
      <c r="A31" s="1" t="s">
        <v>61</v>
      </c>
      <c r="B31" s="1">
        <f t="shared" ref="B31:B32" si="21">B5</f>
        <v>2015</v>
      </c>
      <c r="C31" s="38">
        <f>ROUND((SUM(B78:C85)/SUM(B65:C85)),2)</f>
        <v>0.28999999999999998</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0.32</v>
      </c>
      <c r="D32" s="205"/>
      <c r="E32" s="205"/>
      <c r="G32" s="1" t="s">
        <v>58</v>
      </c>
      <c r="H32" s="1">
        <f>H4</f>
        <v>2010</v>
      </c>
      <c r="I32" s="17">
        <f>C20</f>
        <v>9801</v>
      </c>
      <c r="J32" s="12"/>
      <c r="K32" s="12"/>
      <c r="N32" s="1" t="s">
        <v>58</v>
      </c>
      <c r="O32" s="1">
        <f>O4</f>
        <v>2010</v>
      </c>
      <c r="P32" s="17">
        <f>I32</f>
        <v>9801</v>
      </c>
      <c r="Q32" s="17"/>
    </row>
    <row r="33" spans="1:17" x14ac:dyDescent="0.15">
      <c r="A33" s="2" t="s">
        <v>86</v>
      </c>
      <c r="G33" s="1" t="s">
        <v>57</v>
      </c>
      <c r="H33" s="1">
        <f t="shared" ref="H33:H38" si="22">H5</f>
        <v>2015</v>
      </c>
      <c r="I33" s="17">
        <f>C21</f>
        <v>10606</v>
      </c>
      <c r="J33" s="12"/>
      <c r="K33" s="12"/>
      <c r="N33" s="1" t="s">
        <v>57</v>
      </c>
      <c r="O33" s="1">
        <f t="shared" ref="O33:O38" si="23">O5</f>
        <v>2015</v>
      </c>
      <c r="P33" s="17">
        <f t="shared" ref="P33:P38" si="24">I33</f>
        <v>10606</v>
      </c>
      <c r="Q33" s="17"/>
    </row>
    <row r="34" spans="1:17" x14ac:dyDescent="0.15">
      <c r="A34" s="1" t="s">
        <v>58</v>
      </c>
      <c r="B34" s="1">
        <f>B4</f>
        <v>2010</v>
      </c>
      <c r="C34" s="38">
        <f>ROUND((SUM(B56:C61)/SUM(B41:C61)),2)</f>
        <v>0.14000000000000001</v>
      </c>
      <c r="D34" s="205"/>
      <c r="E34" s="205"/>
      <c r="G34" s="1" t="s">
        <v>62</v>
      </c>
      <c r="H34" s="1">
        <f t="shared" si="22"/>
        <v>2020</v>
      </c>
      <c r="I34" s="17">
        <f>C22</f>
        <v>11205</v>
      </c>
      <c r="J34" s="12"/>
      <c r="K34" s="12"/>
      <c r="N34" s="1" t="s">
        <v>62</v>
      </c>
      <c r="O34" s="1">
        <f t="shared" si="23"/>
        <v>2020</v>
      </c>
      <c r="P34" s="17">
        <f t="shared" si="24"/>
        <v>11205</v>
      </c>
      <c r="Q34" s="17"/>
    </row>
    <row r="35" spans="1:17" x14ac:dyDescent="0.15">
      <c r="A35" s="1" t="s">
        <v>61</v>
      </c>
      <c r="B35" s="1">
        <f t="shared" ref="B35:B36" si="25">B5</f>
        <v>2015</v>
      </c>
      <c r="C35" s="38">
        <f>ROUND((SUM(B80:C85)/SUM(B65:C85)),2)</f>
        <v>0.15</v>
      </c>
      <c r="D35" s="205"/>
      <c r="E35" s="205"/>
      <c r="G35" s="1" t="s">
        <v>106</v>
      </c>
      <c r="H35" s="1">
        <f t="shared" si="22"/>
        <v>2025</v>
      </c>
      <c r="I35" s="17">
        <f>SUM(H82:I89)</f>
        <v>10974</v>
      </c>
      <c r="J35" s="12"/>
      <c r="K35" s="12"/>
      <c r="N35" s="1" t="s">
        <v>106</v>
      </c>
      <c r="O35" s="1">
        <f t="shared" si="23"/>
        <v>2025</v>
      </c>
      <c r="P35" s="17">
        <f t="shared" si="24"/>
        <v>10974</v>
      </c>
      <c r="Q35" s="17">
        <f>SUM(O82:P89)</f>
        <v>10974</v>
      </c>
    </row>
    <row r="36" spans="1:17" x14ac:dyDescent="0.15">
      <c r="A36" s="1" t="s">
        <v>62</v>
      </c>
      <c r="B36" s="1">
        <f t="shared" si="25"/>
        <v>2020</v>
      </c>
      <c r="C36" s="38">
        <f>ROUND((SUM(B104:C109)/SUM(B89:C109)),2)</f>
        <v>0.17</v>
      </c>
      <c r="D36" s="205"/>
      <c r="E36" s="205"/>
      <c r="G36" s="1" t="s">
        <v>107</v>
      </c>
      <c r="H36" s="1">
        <f t="shared" si="22"/>
        <v>2030</v>
      </c>
      <c r="I36" s="17">
        <f>SUM(H106:I113)</f>
        <v>10581</v>
      </c>
      <c r="J36" s="12"/>
      <c r="K36" s="12"/>
      <c r="N36" s="1" t="s">
        <v>107</v>
      </c>
      <c r="O36" s="1">
        <f t="shared" si="23"/>
        <v>2030</v>
      </c>
      <c r="P36" s="17">
        <f t="shared" si="24"/>
        <v>10581</v>
      </c>
      <c r="Q36" s="17">
        <f>SUM(O106:P113)</f>
        <v>10581</v>
      </c>
    </row>
    <row r="37" spans="1:17" x14ac:dyDescent="0.15">
      <c r="G37" s="1" t="s">
        <v>108</v>
      </c>
      <c r="H37" s="1">
        <f t="shared" si="22"/>
        <v>2035</v>
      </c>
      <c r="I37" s="17">
        <f>SUM(H130:I137)</f>
        <v>9992</v>
      </c>
      <c r="J37" s="12"/>
      <c r="K37" s="12"/>
      <c r="N37" s="1" t="s">
        <v>108</v>
      </c>
      <c r="O37" s="1">
        <f t="shared" si="23"/>
        <v>2035</v>
      </c>
      <c r="P37" s="17">
        <f t="shared" si="24"/>
        <v>9992</v>
      </c>
      <c r="Q37" s="17">
        <f>SUM(O130:P137)</f>
        <v>9992</v>
      </c>
    </row>
    <row r="38" spans="1:17" x14ac:dyDescent="0.15">
      <c r="A38" s="69" t="s">
        <v>113</v>
      </c>
      <c r="G38" s="1" t="s">
        <v>109</v>
      </c>
      <c r="H38" s="1">
        <f t="shared" si="22"/>
        <v>2040</v>
      </c>
      <c r="I38" s="17">
        <f>SUM(H154:I161)</f>
        <v>9683</v>
      </c>
      <c r="J38" s="12"/>
      <c r="K38" s="12"/>
      <c r="N38" s="1" t="s">
        <v>109</v>
      </c>
      <c r="O38" s="1">
        <f t="shared" si="23"/>
        <v>2040</v>
      </c>
      <c r="P38" s="17">
        <f t="shared" si="24"/>
        <v>9683</v>
      </c>
      <c r="Q38" s="17">
        <f>SUM(O154:P161)</f>
        <v>9683</v>
      </c>
    </row>
    <row r="39" spans="1:17" x14ac:dyDescent="0.15">
      <c r="A39" s="2" t="s">
        <v>383</v>
      </c>
      <c r="B39" s="316">
        <f>管理者入力シート!B7</f>
        <v>2010</v>
      </c>
      <c r="C39" s="317"/>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5368</v>
      </c>
      <c r="J40" s="12"/>
      <c r="K40" s="12"/>
      <c r="N40" s="1" t="s">
        <v>58</v>
      </c>
      <c r="O40" s="1">
        <f>O4</f>
        <v>2010</v>
      </c>
      <c r="P40" s="17">
        <f>I40</f>
        <v>5368</v>
      </c>
      <c r="Q40" s="17"/>
    </row>
    <row r="41" spans="1:17" x14ac:dyDescent="0.15">
      <c r="A41" s="2" t="s">
        <v>0</v>
      </c>
      <c r="B41" s="17">
        <f>ROUND(VLOOKUP(B$39&amp;"_1",管理者用人口入力シート!A:X,D41,FALSE),0)</f>
        <v>990</v>
      </c>
      <c r="C41" s="17">
        <f>ROUND(VLOOKUP(B$39&amp;"_2",管理者用人口入力シート!A:X,D41,FALSE),0)</f>
        <v>908</v>
      </c>
      <c r="D41" s="2">
        <v>4</v>
      </c>
      <c r="G41" s="1" t="s">
        <v>57</v>
      </c>
      <c r="H41" s="1">
        <f t="shared" ref="H41:H46" si="26">H5</f>
        <v>2015</v>
      </c>
      <c r="I41" s="17">
        <f>C25</f>
        <v>5685</v>
      </c>
      <c r="J41" s="12"/>
      <c r="K41" s="12"/>
      <c r="N41" s="1" t="s">
        <v>57</v>
      </c>
      <c r="O41" s="1">
        <f t="shared" ref="O41:O46" si="27">O5</f>
        <v>2015</v>
      </c>
      <c r="P41" s="17">
        <f t="shared" ref="P41:P46" si="28">I41</f>
        <v>5685</v>
      </c>
      <c r="Q41" s="17"/>
    </row>
    <row r="42" spans="1:17" x14ac:dyDescent="0.15">
      <c r="A42" s="2" t="s">
        <v>1</v>
      </c>
      <c r="B42" s="17">
        <f>ROUND(VLOOKUP(B$39&amp;"_1",管理者用人口入力シート!A:X,D42,FALSE),0)</f>
        <v>976</v>
      </c>
      <c r="C42" s="17">
        <f>ROUND(VLOOKUP(B$39&amp;"_2",管理者用人口入力シート!A:X,D42,FALSE),0)</f>
        <v>904</v>
      </c>
      <c r="D42" s="2">
        <v>5</v>
      </c>
      <c r="G42" s="1" t="s">
        <v>62</v>
      </c>
      <c r="H42" s="1">
        <f t="shared" si="26"/>
        <v>2020</v>
      </c>
      <c r="I42" s="17">
        <f>C26</f>
        <v>5868</v>
      </c>
      <c r="J42" s="12"/>
      <c r="K42" s="12"/>
      <c r="N42" s="1" t="s">
        <v>62</v>
      </c>
      <c r="O42" s="1">
        <f t="shared" si="27"/>
        <v>2020</v>
      </c>
      <c r="P42" s="17">
        <f t="shared" si="28"/>
        <v>5868</v>
      </c>
      <c r="Q42" s="17"/>
    </row>
    <row r="43" spans="1:17" x14ac:dyDescent="0.15">
      <c r="A43" s="2" t="s">
        <v>2</v>
      </c>
      <c r="B43" s="17">
        <f>ROUND(VLOOKUP(B$39&amp;"_1",管理者用人口入力シート!A:X,D43,FALSE),0)</f>
        <v>1003</v>
      </c>
      <c r="C43" s="17">
        <f>ROUND(VLOOKUP(B$39&amp;"_2",管理者用人口入力シート!A:X,D43,FALSE),0)</f>
        <v>945</v>
      </c>
      <c r="D43" s="2">
        <v>6</v>
      </c>
      <c r="G43" s="1" t="s">
        <v>106</v>
      </c>
      <c r="H43" s="1">
        <f t="shared" si="26"/>
        <v>2025</v>
      </c>
      <c r="I43" s="17">
        <f>SUM(H84:I89)</f>
        <v>6347</v>
      </c>
      <c r="J43" s="12"/>
      <c r="K43" s="12"/>
      <c r="N43" s="1" t="s">
        <v>106</v>
      </c>
      <c r="O43" s="1">
        <f t="shared" si="27"/>
        <v>2025</v>
      </c>
      <c r="P43" s="17">
        <f t="shared" si="28"/>
        <v>6347</v>
      </c>
      <c r="Q43" s="17">
        <f>SUM(O84:P89)</f>
        <v>6347</v>
      </c>
    </row>
    <row r="44" spans="1:17" x14ac:dyDescent="0.15">
      <c r="A44" s="2" t="s">
        <v>3</v>
      </c>
      <c r="B44" s="17">
        <f>ROUND(VLOOKUP(B$39&amp;"_1",管理者用人口入力シート!A:X,D44,FALSE),0)</f>
        <v>862</v>
      </c>
      <c r="C44" s="17">
        <f>ROUND(VLOOKUP(B$39&amp;"_2",管理者用人口入力シート!A:X,D44,FALSE),0)</f>
        <v>797</v>
      </c>
      <c r="D44" s="2">
        <v>7</v>
      </c>
      <c r="G44" s="1" t="s">
        <v>107</v>
      </c>
      <c r="H44" s="1">
        <f t="shared" si="26"/>
        <v>2030</v>
      </c>
      <c r="I44" s="17">
        <f>SUM(H108:I113)</f>
        <v>6458</v>
      </c>
      <c r="J44" s="12"/>
      <c r="K44" s="12"/>
      <c r="N44" s="1" t="s">
        <v>107</v>
      </c>
      <c r="O44" s="1">
        <f t="shared" si="27"/>
        <v>2030</v>
      </c>
      <c r="P44" s="17">
        <f t="shared" si="28"/>
        <v>6458</v>
      </c>
      <c r="Q44" s="17">
        <f>SUM(O108:P113)</f>
        <v>6458</v>
      </c>
    </row>
    <row r="45" spans="1:17" x14ac:dyDescent="0.15">
      <c r="A45" s="2" t="s">
        <v>4</v>
      </c>
      <c r="B45" s="17">
        <f>ROUND(VLOOKUP(B$39&amp;"_1",管理者用人口入力シート!A:X,D45,FALSE),0)</f>
        <v>703</v>
      </c>
      <c r="C45" s="17">
        <f>ROUND(VLOOKUP(B$39&amp;"_2",管理者用人口入力シート!A:X,D45,FALSE),0)</f>
        <v>763</v>
      </c>
      <c r="D45" s="2">
        <v>8</v>
      </c>
      <c r="G45" s="1" t="s">
        <v>108</v>
      </c>
      <c r="H45" s="1">
        <f t="shared" si="26"/>
        <v>2035</v>
      </c>
      <c r="I45" s="17">
        <f>SUM(H132:I137)</f>
        <v>6162</v>
      </c>
      <c r="J45" s="12"/>
      <c r="K45" s="12"/>
      <c r="N45" s="1" t="s">
        <v>108</v>
      </c>
      <c r="O45" s="1">
        <f t="shared" si="27"/>
        <v>2035</v>
      </c>
      <c r="P45" s="17">
        <f t="shared" si="28"/>
        <v>6162</v>
      </c>
      <c r="Q45" s="17">
        <f>SUM(O132:P137)</f>
        <v>6162</v>
      </c>
    </row>
    <row r="46" spans="1:17" x14ac:dyDescent="0.15">
      <c r="A46" s="2" t="s">
        <v>5</v>
      </c>
      <c r="B46" s="17">
        <f>ROUND(VLOOKUP(B$39&amp;"_1",管理者用人口入力シート!A:X,D46,FALSE),0)</f>
        <v>1113</v>
      </c>
      <c r="C46" s="17">
        <f>ROUND(VLOOKUP(B$39&amp;"_2",管理者用人口入力シート!A:X,D46,FALSE),0)</f>
        <v>1090</v>
      </c>
      <c r="D46" s="2">
        <v>9</v>
      </c>
      <c r="G46" s="1" t="s">
        <v>109</v>
      </c>
      <c r="H46" s="1">
        <f t="shared" si="26"/>
        <v>2040</v>
      </c>
      <c r="I46" s="17">
        <f>SUM(H156:I161)</f>
        <v>5785</v>
      </c>
      <c r="J46" s="12"/>
      <c r="K46" s="12"/>
      <c r="N46" s="1" t="s">
        <v>109</v>
      </c>
      <c r="O46" s="1">
        <f t="shared" si="27"/>
        <v>2040</v>
      </c>
      <c r="P46" s="17">
        <f t="shared" si="28"/>
        <v>5785</v>
      </c>
      <c r="Q46" s="17">
        <f>SUM(O156:P161)</f>
        <v>5785</v>
      </c>
    </row>
    <row r="47" spans="1:17" x14ac:dyDescent="0.15">
      <c r="A47" s="2" t="s">
        <v>6</v>
      </c>
      <c r="B47" s="17">
        <f>ROUND(VLOOKUP(B$39&amp;"_1",管理者用人口入力シート!A:X,D47,FALSE),0)</f>
        <v>1206</v>
      </c>
      <c r="C47" s="17">
        <f>ROUND(VLOOKUP(B$39&amp;"_2",管理者用人口入力シート!A:X,D47,FALSE),0)</f>
        <v>1257</v>
      </c>
      <c r="D47" s="2">
        <v>10</v>
      </c>
    </row>
    <row r="48" spans="1:17" x14ac:dyDescent="0.15">
      <c r="A48" s="2" t="s">
        <v>7</v>
      </c>
      <c r="B48" s="17">
        <f>ROUND(VLOOKUP(B$39&amp;"_1",管理者用人口入力シート!A:X,D48,FALSE),0)</f>
        <v>1308</v>
      </c>
      <c r="C48" s="17">
        <f>ROUND(VLOOKUP(B$39&amp;"_2",管理者用人口入力シート!A:X,D48,FALSE),0)</f>
        <v>1306</v>
      </c>
      <c r="D48" s="2">
        <v>11</v>
      </c>
      <c r="G48" s="69" t="s">
        <v>85</v>
      </c>
      <c r="N48" s="69" t="s">
        <v>85</v>
      </c>
    </row>
    <row r="49" spans="1:17" x14ac:dyDescent="0.15">
      <c r="A49" s="2" t="s">
        <v>8</v>
      </c>
      <c r="B49" s="17">
        <f>ROUND(VLOOKUP(B$39&amp;"_1",管理者用人口入力シート!A:X,D49,FALSE),0)</f>
        <v>1039</v>
      </c>
      <c r="C49" s="17">
        <f>ROUND(VLOOKUP(B$39&amp;"_2",管理者用人口入力シート!A:X,D49,FALSE),0)</f>
        <v>1121</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1130</v>
      </c>
      <c r="C50" s="17">
        <f>ROUND(VLOOKUP(B$39&amp;"_2",管理者用人口入力シート!A:X,D50,FALSE),0)</f>
        <v>1233</v>
      </c>
      <c r="D50" s="2">
        <v>13</v>
      </c>
      <c r="G50" s="1" t="s">
        <v>58</v>
      </c>
      <c r="H50" s="1">
        <f>H4</f>
        <v>2010</v>
      </c>
      <c r="I50" s="38">
        <f>C30</f>
        <v>0.25</v>
      </c>
      <c r="J50" s="205"/>
      <c r="K50" s="205"/>
      <c r="N50" s="1" t="s">
        <v>58</v>
      </c>
      <c r="O50" s="1">
        <f>O4</f>
        <v>2010</v>
      </c>
      <c r="P50" s="38">
        <f t="shared" ref="P50:P56" si="29">I50</f>
        <v>0.25</v>
      </c>
      <c r="Q50" s="1"/>
    </row>
    <row r="51" spans="1:17" x14ac:dyDescent="0.15">
      <c r="A51" s="2" t="s">
        <v>10</v>
      </c>
      <c r="B51" s="17">
        <f>ROUND(VLOOKUP(B$39&amp;"_1",管理者用人口入力シート!A:X,D51,FALSE),0)</f>
        <v>1156</v>
      </c>
      <c r="C51" s="17">
        <f>ROUND(VLOOKUP(B$39&amp;"_2",管理者用人口入力シート!A:X,D51,FALSE),0)</f>
        <v>1277</v>
      </c>
      <c r="D51" s="2">
        <v>14</v>
      </c>
      <c r="G51" s="1" t="s">
        <v>57</v>
      </c>
      <c r="H51" s="1">
        <f t="shared" ref="H51:H56" si="30">H5</f>
        <v>2015</v>
      </c>
      <c r="I51" s="38">
        <f t="shared" ref="I51:I52" si="31">C31</f>
        <v>0.28999999999999998</v>
      </c>
      <c r="J51" s="205"/>
      <c r="K51" s="205"/>
      <c r="N51" s="1" t="s">
        <v>57</v>
      </c>
      <c r="O51" s="1">
        <f t="shared" ref="O51:O56" si="32">O5</f>
        <v>2015</v>
      </c>
      <c r="P51" s="38">
        <f t="shared" si="29"/>
        <v>0.28999999999999998</v>
      </c>
      <c r="Q51" s="1"/>
    </row>
    <row r="52" spans="1:17" x14ac:dyDescent="0.15">
      <c r="A52" s="2" t="s">
        <v>11</v>
      </c>
      <c r="B52" s="17">
        <f>ROUND(VLOOKUP(B$39&amp;"_1",管理者用人口入力シート!A:X,D52,FALSE),0)</f>
        <v>1400</v>
      </c>
      <c r="C52" s="17">
        <f>ROUND(VLOOKUP(B$39&amp;"_2",管理者用人口入力シート!A:X,D52,FALSE),0)</f>
        <v>1519</v>
      </c>
      <c r="D52" s="2">
        <v>15</v>
      </c>
      <c r="G52" s="1" t="s">
        <v>62</v>
      </c>
      <c r="H52" s="1">
        <f t="shared" si="30"/>
        <v>2020</v>
      </c>
      <c r="I52" s="38">
        <f t="shared" si="31"/>
        <v>0.32</v>
      </c>
      <c r="J52" s="205"/>
      <c r="K52" s="205"/>
      <c r="N52" s="1" t="s">
        <v>62</v>
      </c>
      <c r="O52" s="1">
        <f t="shared" si="32"/>
        <v>2020</v>
      </c>
      <c r="P52" s="38">
        <f t="shared" si="29"/>
        <v>0.32</v>
      </c>
      <c r="Q52" s="1"/>
    </row>
    <row r="53" spans="1:17" x14ac:dyDescent="0.15">
      <c r="A53" s="2" t="s">
        <v>12</v>
      </c>
      <c r="B53" s="17">
        <f>ROUND(VLOOKUP(B$39&amp;"_1",管理者用人口入力シート!A:X,D53,FALSE),0)</f>
        <v>1449</v>
      </c>
      <c r="C53" s="17">
        <f>ROUND(VLOOKUP(B$39&amp;"_2",管理者用人口入力シート!A:X,D53,FALSE),0)</f>
        <v>1574</v>
      </c>
      <c r="D53" s="2">
        <v>16</v>
      </c>
      <c r="G53" s="1" t="s">
        <v>106</v>
      </c>
      <c r="H53" s="1">
        <f t="shared" si="30"/>
        <v>2025</v>
      </c>
      <c r="I53" s="38">
        <f>ROUND((SUM(H82:I89)/SUM(H69:I89)),2)</f>
        <v>0.34</v>
      </c>
      <c r="J53" s="205"/>
      <c r="K53" s="205"/>
      <c r="L53" s="70"/>
      <c r="M53" s="70"/>
      <c r="N53" s="1" t="s">
        <v>106</v>
      </c>
      <c r="O53" s="1">
        <f t="shared" si="32"/>
        <v>2025</v>
      </c>
      <c r="P53" s="38">
        <f t="shared" si="29"/>
        <v>0.34</v>
      </c>
      <c r="Q53" s="38">
        <f>ROUND((SUM(O82:P89)/SUM(O69:P89)),2)</f>
        <v>0.34</v>
      </c>
    </row>
    <row r="54" spans="1:17" x14ac:dyDescent="0.15">
      <c r="A54" s="2" t="s">
        <v>13</v>
      </c>
      <c r="B54" s="17">
        <f>ROUND(VLOOKUP(B$39&amp;"_1",管理者用人口入力シート!A:X,D54,FALSE),0)</f>
        <v>1003</v>
      </c>
      <c r="C54" s="17">
        <f>ROUND(VLOOKUP(B$39&amp;"_2",管理者用人口入力シート!A:X,D54,FALSE),0)</f>
        <v>1238</v>
      </c>
      <c r="D54" s="2">
        <v>17</v>
      </c>
      <c r="G54" s="1" t="s">
        <v>107</v>
      </c>
      <c r="H54" s="1">
        <f t="shared" si="30"/>
        <v>2030</v>
      </c>
      <c r="I54" s="38">
        <f>ROUND((SUM(H106:I113)/SUM(H93:I113)),2)</f>
        <v>0.35</v>
      </c>
      <c r="J54" s="205"/>
      <c r="K54" s="205"/>
      <c r="N54" s="1" t="s">
        <v>107</v>
      </c>
      <c r="O54" s="1">
        <f t="shared" si="32"/>
        <v>2030</v>
      </c>
      <c r="P54" s="38">
        <f t="shared" si="29"/>
        <v>0.35</v>
      </c>
      <c r="Q54" s="38">
        <f>ROUND((SUM(O106:P113)/SUM(O93:P113)),2)</f>
        <v>0.35</v>
      </c>
    </row>
    <row r="55" spans="1:17" x14ac:dyDescent="0.15">
      <c r="A55" s="2" t="s">
        <v>14</v>
      </c>
      <c r="B55" s="17">
        <f>ROUND(VLOOKUP(B$39&amp;"_1",管理者用人口入力シート!A:X,D55,FALSE),0)</f>
        <v>972</v>
      </c>
      <c r="C55" s="17">
        <f>ROUND(VLOOKUP(B$39&amp;"_2",管理者用人口入力シート!A:X,D55,FALSE),0)</f>
        <v>1220</v>
      </c>
      <c r="D55" s="2">
        <v>18</v>
      </c>
      <c r="G55" s="1" t="s">
        <v>108</v>
      </c>
      <c r="H55" s="1">
        <f t="shared" si="30"/>
        <v>2035</v>
      </c>
      <c r="I55" s="38">
        <f>ROUND((SUM(H130:I137)/SUM(H117:I137)),2)</f>
        <v>0.36</v>
      </c>
      <c r="J55" s="205"/>
      <c r="K55" s="205"/>
      <c r="N55" s="1" t="s">
        <v>108</v>
      </c>
      <c r="O55" s="1">
        <f t="shared" si="32"/>
        <v>2035</v>
      </c>
      <c r="P55" s="38">
        <f t="shared" si="29"/>
        <v>0.36</v>
      </c>
      <c r="Q55" s="38">
        <f>ROUND((SUM(O130:P137)/SUM(O117:P137)),2)</f>
        <v>0.36</v>
      </c>
    </row>
    <row r="56" spans="1:17" x14ac:dyDescent="0.15">
      <c r="A56" s="2" t="s">
        <v>15</v>
      </c>
      <c r="B56" s="17">
        <f>ROUND(VLOOKUP(B$39&amp;"_1",管理者用人口入力シート!A:X,D56,FALSE),0)</f>
        <v>936</v>
      </c>
      <c r="C56" s="17">
        <f>ROUND(VLOOKUP(B$39&amp;"_2",管理者用人口入力シート!A:X,D56,FALSE),0)</f>
        <v>1265</v>
      </c>
      <c r="D56" s="2">
        <v>19</v>
      </c>
      <c r="G56" s="1" t="s">
        <v>109</v>
      </c>
      <c r="H56" s="1">
        <f t="shared" si="30"/>
        <v>2040</v>
      </c>
      <c r="I56" s="38">
        <f>ROUND((SUM(H154:I161)/SUM(H141:I161)),2)</f>
        <v>0.38</v>
      </c>
      <c r="J56" s="205"/>
      <c r="K56" s="205"/>
      <c r="N56" s="1" t="s">
        <v>109</v>
      </c>
      <c r="O56" s="1">
        <f t="shared" si="32"/>
        <v>2040</v>
      </c>
      <c r="P56" s="38">
        <f t="shared" si="29"/>
        <v>0.38</v>
      </c>
      <c r="Q56" s="38">
        <f>ROUND((SUM(O154:P161)/SUM(O141:P161)),2)</f>
        <v>0.38</v>
      </c>
    </row>
    <row r="57" spans="1:17" x14ac:dyDescent="0.15">
      <c r="A57" s="2" t="s">
        <v>16</v>
      </c>
      <c r="B57" s="17">
        <f>ROUND(VLOOKUP(B$39&amp;"_1",管理者用人口入力シート!A:X,D57,FALSE),0)</f>
        <v>583</v>
      </c>
      <c r="C57" s="17">
        <f>ROUND(VLOOKUP(B$39&amp;"_2",管理者用人口入力シート!A:X,D57,FALSE),0)</f>
        <v>1158</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247</v>
      </c>
      <c r="C58" s="17">
        <f>ROUND(VLOOKUP(B$39&amp;"_2",管理者用人口入力シート!A:X,D58,FALSE),0)</f>
        <v>635</v>
      </c>
      <c r="D58" s="2">
        <v>21</v>
      </c>
      <c r="G58" s="1" t="s">
        <v>58</v>
      </c>
      <c r="H58" s="1">
        <f>H4</f>
        <v>2010</v>
      </c>
      <c r="I58" s="38">
        <f>C34</f>
        <v>0.14000000000000001</v>
      </c>
      <c r="J58" s="205"/>
      <c r="K58" s="205"/>
      <c r="N58" s="1" t="s">
        <v>58</v>
      </c>
      <c r="O58" s="1">
        <f>O4</f>
        <v>2010</v>
      </c>
      <c r="P58" s="38">
        <f t="shared" ref="P58:P64" si="33">I58</f>
        <v>0.14000000000000001</v>
      </c>
      <c r="Q58" s="1"/>
    </row>
    <row r="59" spans="1:17" x14ac:dyDescent="0.15">
      <c r="A59" s="2" t="s">
        <v>18</v>
      </c>
      <c r="B59" s="17">
        <f>ROUND(VLOOKUP(B$39&amp;"_1",管理者用人口入力シート!A:X,D59,FALSE),0)</f>
        <v>89</v>
      </c>
      <c r="C59" s="17">
        <f>ROUND(VLOOKUP(B$39&amp;"_2",管理者用人口入力シート!A:X,D59,FALSE),0)</f>
        <v>298</v>
      </c>
      <c r="D59" s="2">
        <v>22</v>
      </c>
      <c r="G59" s="1" t="s">
        <v>57</v>
      </c>
      <c r="H59" s="1">
        <f t="shared" ref="H59:H64" si="34">H5</f>
        <v>2015</v>
      </c>
      <c r="I59" s="38">
        <f t="shared" ref="I59:I60" si="35">C35</f>
        <v>0.15</v>
      </c>
      <c r="J59" s="205"/>
      <c r="K59" s="205"/>
      <c r="N59" s="1" t="s">
        <v>57</v>
      </c>
      <c r="O59" s="1">
        <f t="shared" ref="O59:O64" si="36">O5</f>
        <v>2015</v>
      </c>
      <c r="P59" s="38">
        <f t="shared" si="33"/>
        <v>0.15</v>
      </c>
      <c r="Q59" s="1"/>
    </row>
    <row r="60" spans="1:17" x14ac:dyDescent="0.15">
      <c r="A60" s="2" t="s">
        <v>19</v>
      </c>
      <c r="B60" s="17">
        <f>ROUND(VLOOKUP(B$39&amp;"_1",管理者用人口入力シート!A:X,D60,FALSE),0)</f>
        <v>29</v>
      </c>
      <c r="C60" s="17">
        <f>ROUND(VLOOKUP(B$39&amp;"_2",管理者用人口入力シート!A:X,D60,FALSE),0)</f>
        <v>113</v>
      </c>
      <c r="D60" s="2">
        <v>23</v>
      </c>
      <c r="G60" s="1" t="s">
        <v>62</v>
      </c>
      <c r="H60" s="1">
        <f t="shared" si="34"/>
        <v>2020</v>
      </c>
      <c r="I60" s="38">
        <f t="shared" si="35"/>
        <v>0.17</v>
      </c>
      <c r="J60" s="205"/>
      <c r="K60" s="205"/>
      <c r="N60" s="1" t="s">
        <v>62</v>
      </c>
      <c r="O60" s="1">
        <f t="shared" si="36"/>
        <v>2020</v>
      </c>
      <c r="P60" s="38">
        <f t="shared" si="33"/>
        <v>0.17</v>
      </c>
      <c r="Q60" s="1"/>
    </row>
    <row r="61" spans="1:17" x14ac:dyDescent="0.15">
      <c r="A61" s="2" t="s">
        <v>20</v>
      </c>
      <c r="B61" s="17">
        <f>ROUND(VLOOKUP(B$39&amp;"_1",管理者用人口入力シート!A:X,D61,FALSE),0)</f>
        <v>1</v>
      </c>
      <c r="C61" s="17">
        <f>ROUND(VLOOKUP(B$39&amp;"_2",管理者用人口入力シート!A:X,D61,FALSE),0)</f>
        <v>14</v>
      </c>
      <c r="D61" s="2">
        <v>24</v>
      </c>
      <c r="G61" s="1" t="s">
        <v>106</v>
      </c>
      <c r="H61" s="1">
        <f t="shared" si="34"/>
        <v>2025</v>
      </c>
      <c r="I61" s="38">
        <f>ROUND((SUM(H84:I89)/SUM(H69:I89)),2)</f>
        <v>0.19</v>
      </c>
      <c r="J61" s="205"/>
      <c r="K61" s="205"/>
      <c r="N61" s="1" t="s">
        <v>106</v>
      </c>
      <c r="O61" s="1">
        <f t="shared" si="36"/>
        <v>2025</v>
      </c>
      <c r="P61" s="38">
        <f t="shared" si="33"/>
        <v>0.19</v>
      </c>
      <c r="Q61" s="38">
        <f>ROUND((SUM(O84:P89)/SUM(O69:P89)),2)</f>
        <v>0.19</v>
      </c>
    </row>
    <row r="62" spans="1:17" x14ac:dyDescent="0.15">
      <c r="G62" s="1" t="s">
        <v>107</v>
      </c>
      <c r="H62" s="1">
        <f t="shared" si="34"/>
        <v>2030</v>
      </c>
      <c r="I62" s="38">
        <f>ROUND((SUM(H108:I113)/SUM(H93:I113)),2)</f>
        <v>0.21</v>
      </c>
      <c r="J62" s="205"/>
      <c r="K62" s="205"/>
      <c r="N62" s="1" t="s">
        <v>107</v>
      </c>
      <c r="O62" s="1">
        <f t="shared" si="36"/>
        <v>2030</v>
      </c>
      <c r="P62" s="38">
        <f t="shared" si="33"/>
        <v>0.21</v>
      </c>
      <c r="Q62" s="38">
        <f>ROUND((SUM(O108:P113)/SUM(O93:P113)),2)</f>
        <v>0.21</v>
      </c>
    </row>
    <row r="63" spans="1:17" x14ac:dyDescent="0.15">
      <c r="A63" s="2" t="s">
        <v>384</v>
      </c>
      <c r="B63" s="316">
        <f>管理者入力シート!B6</f>
        <v>2015</v>
      </c>
      <c r="C63" s="317"/>
      <c r="D63" s="2" t="s">
        <v>114</v>
      </c>
      <c r="G63" s="1" t="s">
        <v>108</v>
      </c>
      <c r="H63" s="1">
        <f t="shared" si="34"/>
        <v>2035</v>
      </c>
      <c r="I63" s="38">
        <f>ROUND((SUM(H132:I137)/SUM(H117:I137)),2)</f>
        <v>0.22</v>
      </c>
      <c r="J63" s="205"/>
      <c r="K63" s="205"/>
      <c r="N63" s="1" t="s">
        <v>108</v>
      </c>
      <c r="O63" s="1">
        <f t="shared" si="36"/>
        <v>2035</v>
      </c>
      <c r="P63" s="38">
        <f t="shared" si="33"/>
        <v>0.22</v>
      </c>
      <c r="Q63" s="38">
        <f>ROUND((SUM(O132:P137)/SUM(O117:P137)),2)</f>
        <v>0.22</v>
      </c>
    </row>
    <row r="64" spans="1:17" x14ac:dyDescent="0.15">
      <c r="A64" s="2" t="s">
        <v>115</v>
      </c>
      <c r="B64" s="18" t="s">
        <v>21</v>
      </c>
      <c r="C64" s="18" t="s">
        <v>22</v>
      </c>
      <c r="G64" s="1" t="s">
        <v>109</v>
      </c>
      <c r="H64" s="1">
        <f t="shared" si="34"/>
        <v>2040</v>
      </c>
      <c r="I64" s="38">
        <f>ROUND((SUM(H156:I161)/SUM(H141:I161)),2)</f>
        <v>0.23</v>
      </c>
      <c r="J64" s="205"/>
      <c r="K64" s="205"/>
      <c r="N64" s="1" t="s">
        <v>109</v>
      </c>
      <c r="O64" s="1">
        <f t="shared" si="36"/>
        <v>2040</v>
      </c>
      <c r="P64" s="38">
        <f t="shared" si="33"/>
        <v>0.23</v>
      </c>
      <c r="Q64" s="38">
        <f>ROUND((SUM(O156:P161)/SUM(O141:P161)),2)</f>
        <v>0.23</v>
      </c>
    </row>
    <row r="65" spans="1:21" x14ac:dyDescent="0.15">
      <c r="A65" s="2" t="s">
        <v>0</v>
      </c>
      <c r="B65" s="17">
        <f>ROUND(VLOOKUP(B$63&amp;"_1",管理者用人口入力シート!A:X,D65,FALSE),0)</f>
        <v>918</v>
      </c>
      <c r="C65" s="17">
        <f>ROUND(VLOOKUP(B$63&amp;"_2",管理者用人口入力シート!A:X,D65,FALSE),0)</f>
        <v>756</v>
      </c>
      <c r="D65" s="2">
        <v>4</v>
      </c>
    </row>
    <row r="66" spans="1:21" x14ac:dyDescent="0.15">
      <c r="A66" s="2" t="s">
        <v>1</v>
      </c>
      <c r="B66" s="17">
        <f>ROUND(VLOOKUP(B$63&amp;"_1",管理者用人口入力シート!A:X,D66,FALSE),0)</f>
        <v>911</v>
      </c>
      <c r="C66" s="17">
        <f>ROUND(VLOOKUP(B$63&amp;"_2",管理者用人口入力シート!A:X,D66,FALSE),0)</f>
        <v>850</v>
      </c>
      <c r="D66" s="2">
        <v>5</v>
      </c>
      <c r="G66" s="69" t="s">
        <v>113</v>
      </c>
      <c r="N66" s="69" t="s">
        <v>113</v>
      </c>
    </row>
    <row r="67" spans="1:21" x14ac:dyDescent="0.15">
      <c r="A67" s="2" t="s">
        <v>2</v>
      </c>
      <c r="B67" s="17">
        <f>ROUND(VLOOKUP(B$63&amp;"_1",管理者用人口入力シート!A:X,D67,FALSE),0)</f>
        <v>932</v>
      </c>
      <c r="C67" s="17">
        <f>ROUND(VLOOKUP(B$63&amp;"_2",管理者用人口入力シート!A:X,D67,FALSE),0)</f>
        <v>858</v>
      </c>
      <c r="D67" s="2">
        <v>6</v>
      </c>
      <c r="G67" s="2" t="s">
        <v>106</v>
      </c>
      <c r="H67" s="316">
        <f>管理者入力シート!B8</f>
        <v>2025</v>
      </c>
      <c r="I67" s="317"/>
      <c r="J67" s="2" t="s">
        <v>114</v>
      </c>
      <c r="K67" s="209"/>
      <c r="O67" s="316">
        <f>管理者入力シート!B8</f>
        <v>2025</v>
      </c>
      <c r="P67" s="317"/>
      <c r="Q67" s="2" t="s">
        <v>114</v>
      </c>
    </row>
    <row r="68" spans="1:21" x14ac:dyDescent="0.15">
      <c r="A68" s="2" t="s">
        <v>3</v>
      </c>
      <c r="B68" s="17">
        <f>ROUND(VLOOKUP(B$63&amp;"_1",管理者用人口入力シート!A:X,D68,FALSE),0)</f>
        <v>842</v>
      </c>
      <c r="C68" s="17">
        <f>ROUND(VLOOKUP(B$63&amp;"_2",管理者用人口入力シート!A:X,D68,FALSE),0)</f>
        <v>849</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715</v>
      </c>
      <c r="C69" s="17">
        <f>ROUND(VLOOKUP(B$63&amp;"_2",管理者用人口入力シート!A:X,D69,FALSE),0)</f>
        <v>598</v>
      </c>
      <c r="D69" s="2">
        <v>8</v>
      </c>
      <c r="G69" s="2" t="s">
        <v>0</v>
      </c>
      <c r="H69" s="17">
        <f>ROUND(VLOOKUP(H$67&amp;"_1",管理者用人口入力シート!BH:CE,J69,FALSE),0)</f>
        <v>614</v>
      </c>
      <c r="I69" s="17">
        <f>ROUND(VLOOKUP(H$67&amp;"_2",管理者用人口入力シート!BH:CE,J69,FALSE),0)</f>
        <v>586</v>
      </c>
      <c r="J69" s="2">
        <v>4</v>
      </c>
      <c r="K69" s="12"/>
      <c r="N69" s="2" t="s">
        <v>0</v>
      </c>
      <c r="O69" s="17">
        <f>ROUND(VLOOKUP(O$67&amp;"_1",管理者用人口入力シート!CO:DL,Q69,FALSE),0)</f>
        <v>615</v>
      </c>
      <c r="P69" s="17">
        <f>ROUND(VLOOKUP(O$67&amp;"_2",管理者用人口入力シート!CO:DL,Q69,FALSE),0)</f>
        <v>587</v>
      </c>
      <c r="Q69" s="2">
        <v>4</v>
      </c>
      <c r="U69" s="85"/>
    </row>
    <row r="70" spans="1:21" x14ac:dyDescent="0.15">
      <c r="A70" s="2" t="s">
        <v>5</v>
      </c>
      <c r="B70" s="17">
        <f>ROUND(VLOOKUP(B$63&amp;"_1",管理者用人口入力シート!A:X,D70,FALSE),0)</f>
        <v>907</v>
      </c>
      <c r="C70" s="17">
        <f>ROUND(VLOOKUP(B$63&amp;"_2",管理者用人口入力シート!A:X,D70,FALSE),0)</f>
        <v>879</v>
      </c>
      <c r="D70" s="2">
        <v>9</v>
      </c>
      <c r="G70" s="2" t="s">
        <v>1</v>
      </c>
      <c r="H70" s="17">
        <f>ROUND(VLOOKUP(H$67&amp;"_1",管理者用人口入力シート!BH:CE,J70,FALSE),0)</f>
        <v>655</v>
      </c>
      <c r="I70" s="17">
        <f>ROUND(VLOOKUP(H$67&amp;"_2",管理者用人口入力シート!BH:CE,J70,FALSE),0)</f>
        <v>651</v>
      </c>
      <c r="J70" s="2">
        <v>5</v>
      </c>
      <c r="K70" s="12"/>
      <c r="N70" s="2" t="s">
        <v>1</v>
      </c>
      <c r="O70" s="17">
        <f>ROUND(VLOOKUP(O$67&amp;"_1",管理者用人口入力シート!CO:DL,Q70,FALSE),0)</f>
        <v>655</v>
      </c>
      <c r="P70" s="17">
        <f>ROUND(VLOOKUP(O$67&amp;"_2",管理者用人口入力シート!CO:DL,Q70,FALSE),0)</f>
        <v>651</v>
      </c>
      <c r="Q70" s="2">
        <v>5</v>
      </c>
      <c r="U70" s="85"/>
    </row>
    <row r="71" spans="1:21" x14ac:dyDescent="0.15">
      <c r="A71" s="2" t="s">
        <v>6</v>
      </c>
      <c r="B71" s="17">
        <f>ROUND(VLOOKUP(B$63&amp;"_1",管理者用人口入力シート!A:X,D71,FALSE),0)</f>
        <v>1057</v>
      </c>
      <c r="C71" s="17">
        <f>ROUND(VLOOKUP(B$63&amp;"_2",管理者用人口入力シート!A:X,D71,FALSE),0)</f>
        <v>1010</v>
      </c>
      <c r="D71" s="2">
        <v>10</v>
      </c>
      <c r="G71" s="2" t="s">
        <v>2</v>
      </c>
      <c r="H71" s="17">
        <f>ROUND(VLOOKUP(H$67&amp;"_1",管理者用人口入力シート!BH:CE,J71,FALSE),0)</f>
        <v>777</v>
      </c>
      <c r="I71" s="17">
        <f>ROUND(VLOOKUP(H$67&amp;"_2",管理者用人口入力シート!BH:CE,J71,FALSE),0)</f>
        <v>680</v>
      </c>
      <c r="J71" s="2">
        <v>6</v>
      </c>
      <c r="K71" s="12"/>
      <c r="N71" s="2" t="s">
        <v>2</v>
      </c>
      <c r="O71" s="17">
        <f>ROUND(VLOOKUP(O$67&amp;"_1",管理者用人口入力シート!CO:DL,Q71,FALSE),0)</f>
        <v>778</v>
      </c>
      <c r="P71" s="17">
        <f>ROUND(VLOOKUP(O$67&amp;"_2",管理者用人口入力シート!CO:DL,Q71,FALSE),0)</f>
        <v>681</v>
      </c>
      <c r="Q71" s="2">
        <v>6</v>
      </c>
      <c r="U71" s="85"/>
    </row>
    <row r="72" spans="1:21" x14ac:dyDescent="0.15">
      <c r="A72" s="2" t="s">
        <v>7</v>
      </c>
      <c r="B72" s="17">
        <f>ROUND(VLOOKUP(B$63&amp;"_1",管理者用人口入力シート!A:X,D72,FALSE),0)</f>
        <v>1135</v>
      </c>
      <c r="C72" s="17">
        <f>ROUND(VLOOKUP(B$63&amp;"_2",管理者用人口入力シート!A:X,D72,FALSE),0)</f>
        <v>1184</v>
      </c>
      <c r="D72" s="2">
        <v>11</v>
      </c>
      <c r="G72" s="2" t="s">
        <v>3</v>
      </c>
      <c r="H72" s="17">
        <f>ROUND(VLOOKUP(H$67&amp;"_1",管理者用人口入力シート!BH:CE,J72,FALSE),0)</f>
        <v>711</v>
      </c>
      <c r="I72" s="17">
        <f>ROUND(VLOOKUP(H$67&amp;"_2",管理者用人口入力シート!BH:CE,J72,FALSE),0)</f>
        <v>694</v>
      </c>
      <c r="J72" s="2">
        <v>7</v>
      </c>
      <c r="K72" s="12"/>
      <c r="N72" s="2" t="s">
        <v>3</v>
      </c>
      <c r="O72" s="17">
        <f>ROUND(VLOOKUP(O$67&amp;"_1",管理者用人口入力シート!CO:DL,Q72,FALSE),0)</f>
        <v>711</v>
      </c>
      <c r="P72" s="17">
        <f>ROUND(VLOOKUP(O$67&amp;"_2",管理者用人口入力シート!CO:DL,Q72,FALSE),0)</f>
        <v>694</v>
      </c>
      <c r="Q72" s="2">
        <v>7</v>
      </c>
      <c r="U72" s="85"/>
    </row>
    <row r="73" spans="1:21" x14ac:dyDescent="0.15">
      <c r="A73" s="2" t="s">
        <v>8</v>
      </c>
      <c r="B73" s="17">
        <f>ROUND(VLOOKUP(B$63&amp;"_1",管理者用人口入力シート!A:X,D73,FALSE),0)</f>
        <v>1238</v>
      </c>
      <c r="C73" s="17">
        <f>ROUND(VLOOKUP(B$63&amp;"_2",管理者用人口入力シート!A:X,D73,FALSE),0)</f>
        <v>1252</v>
      </c>
      <c r="D73" s="2">
        <v>12</v>
      </c>
      <c r="G73" s="2" t="s">
        <v>4</v>
      </c>
      <c r="H73" s="17">
        <f>ROUND(VLOOKUP(H$67&amp;"_1",管理者用人口入力シート!BH:CE,J73,FALSE),0)</f>
        <v>625</v>
      </c>
      <c r="I73" s="17">
        <f>ROUND(VLOOKUP(H$67&amp;"_2",管理者用人口入力シート!BH:CE,J73,FALSE),0)</f>
        <v>515</v>
      </c>
      <c r="J73" s="2">
        <v>8</v>
      </c>
      <c r="K73" s="12"/>
      <c r="N73" s="2" t="s">
        <v>4</v>
      </c>
      <c r="O73" s="17">
        <f>ROUND(VLOOKUP(O$67&amp;"_1",管理者用人口入力シート!CO:DL,Q73,FALSE),0)</f>
        <v>625</v>
      </c>
      <c r="P73" s="17">
        <f>ROUND(VLOOKUP(O$67&amp;"_2",管理者用人口入力シート!CO:DL,Q73,FALSE),0)</f>
        <v>515</v>
      </c>
      <c r="Q73" s="2">
        <v>8</v>
      </c>
      <c r="U73" s="85"/>
    </row>
    <row r="74" spans="1:21" x14ac:dyDescent="0.15">
      <c r="A74" s="2" t="s">
        <v>9</v>
      </c>
      <c r="B74" s="17">
        <f>ROUND(VLOOKUP(B$63&amp;"_1",管理者用人口入力シート!A:X,D74,FALSE),0)</f>
        <v>1039</v>
      </c>
      <c r="C74" s="17">
        <f>ROUND(VLOOKUP(B$63&amp;"_2",管理者用人口入力シート!A:X,D74,FALSE),0)</f>
        <v>1086</v>
      </c>
      <c r="D74" s="2">
        <v>13</v>
      </c>
      <c r="G74" s="2" t="s">
        <v>5</v>
      </c>
      <c r="H74" s="17">
        <f>ROUND(VLOOKUP(H$67&amp;"_1",管理者用人口入力シート!BH:CE,J74,FALSE),0)</f>
        <v>857</v>
      </c>
      <c r="I74" s="17">
        <f>ROUND(VLOOKUP(H$67&amp;"_2",管理者用人口入力シート!BH:CE,J74,FALSE),0)</f>
        <v>642</v>
      </c>
      <c r="J74" s="2">
        <v>9</v>
      </c>
      <c r="K74" s="12"/>
      <c r="N74" s="2" t="s">
        <v>5</v>
      </c>
      <c r="O74" s="17">
        <f>ROUND(VLOOKUP(O$67&amp;"_1",管理者用人口入力シート!CO:DL,Q74,FALSE),0)</f>
        <v>859</v>
      </c>
      <c r="P74" s="17">
        <f>ROUND(VLOOKUP(O$67&amp;"_2",管理者用人口入力シート!CO:DL,Q74,FALSE),0)</f>
        <v>644</v>
      </c>
      <c r="Q74" s="2">
        <v>9</v>
      </c>
      <c r="U74" s="85"/>
    </row>
    <row r="75" spans="1:21" x14ac:dyDescent="0.15">
      <c r="A75" s="2" t="s">
        <v>10</v>
      </c>
      <c r="B75" s="17">
        <f>ROUND(VLOOKUP(B$63&amp;"_1",管理者用人口入力シート!A:X,D75,FALSE),0)</f>
        <v>1072</v>
      </c>
      <c r="C75" s="17">
        <f>ROUND(VLOOKUP(B$63&amp;"_2",管理者用人口入力シート!A:X,D75,FALSE),0)</f>
        <v>1214</v>
      </c>
      <c r="D75" s="2">
        <v>14</v>
      </c>
      <c r="G75" s="2" t="s">
        <v>6</v>
      </c>
      <c r="H75" s="17">
        <f>ROUND(VLOOKUP(H$67&amp;"_1",管理者用人口入力シート!BH:CE,J75,FALSE),0)</f>
        <v>837</v>
      </c>
      <c r="I75" s="17">
        <f>ROUND(VLOOKUP(H$67&amp;"_2",管理者用人口入力シート!BH:CE,J75,FALSE),0)</f>
        <v>605</v>
      </c>
      <c r="J75" s="2">
        <v>10</v>
      </c>
      <c r="K75" s="12"/>
      <c r="N75" s="2" t="s">
        <v>6</v>
      </c>
      <c r="O75" s="17">
        <f>ROUND(VLOOKUP(O$67&amp;"_1",管理者用人口入力シート!CO:DL,Q75,FALSE),0)</f>
        <v>837</v>
      </c>
      <c r="P75" s="17">
        <f>ROUND(VLOOKUP(O$67&amp;"_2",管理者用人口入力シート!CO:DL,Q75,FALSE),0)</f>
        <v>605</v>
      </c>
      <c r="Q75" s="2">
        <v>10</v>
      </c>
      <c r="U75" s="85"/>
    </row>
    <row r="76" spans="1:21" x14ac:dyDescent="0.15">
      <c r="A76" s="2" t="s">
        <v>11</v>
      </c>
      <c r="B76" s="17">
        <f>ROUND(VLOOKUP(B$63&amp;"_1",管理者用人口入力シート!A:X,D76,FALSE),0)</f>
        <v>1159</v>
      </c>
      <c r="C76" s="17">
        <f>ROUND(VLOOKUP(B$63&amp;"_2",管理者用人口入力シート!A:X,D76,FALSE),0)</f>
        <v>1248</v>
      </c>
      <c r="D76" s="2">
        <v>15</v>
      </c>
      <c r="G76" s="2" t="s">
        <v>7</v>
      </c>
      <c r="H76" s="17">
        <f>ROUND(VLOOKUP(H$67&amp;"_1",管理者用人口入力シート!BH:CE,J76,FALSE),0)</f>
        <v>763</v>
      </c>
      <c r="I76" s="17">
        <f>ROUND(VLOOKUP(H$67&amp;"_2",管理者用人口入力シート!BH:CE,J76,FALSE),0)</f>
        <v>776</v>
      </c>
      <c r="J76" s="2">
        <v>11</v>
      </c>
      <c r="K76" s="12"/>
      <c r="N76" s="2" t="s">
        <v>7</v>
      </c>
      <c r="O76" s="17">
        <f>ROUND(VLOOKUP(O$67&amp;"_1",管理者用人口入力シート!CO:DL,Q76,FALSE),0)</f>
        <v>763</v>
      </c>
      <c r="P76" s="17">
        <f>ROUND(VLOOKUP(O$67&amp;"_2",管理者用人口入力シート!CO:DL,Q76,FALSE),0)</f>
        <v>776</v>
      </c>
      <c r="Q76" s="2">
        <v>11</v>
      </c>
      <c r="U76" s="85"/>
    </row>
    <row r="77" spans="1:21" x14ac:dyDescent="0.15">
      <c r="A77" s="2" t="s">
        <v>12</v>
      </c>
      <c r="B77" s="17">
        <f>ROUND(VLOOKUP(B$63&amp;"_1",管理者用人口入力シート!A:X,D77,FALSE),0)</f>
        <v>1317</v>
      </c>
      <c r="C77" s="17">
        <f>ROUND(VLOOKUP(B$63&amp;"_2",管理者用人口入力シート!A:X,D77,FALSE),0)</f>
        <v>1458</v>
      </c>
      <c r="D77" s="2">
        <v>16</v>
      </c>
      <c r="G77" s="2" t="s">
        <v>8</v>
      </c>
      <c r="H77" s="17">
        <f>ROUND(VLOOKUP(H$67&amp;"_1",管理者用人口入力シート!BH:CE,J77,FALSE),0)</f>
        <v>900</v>
      </c>
      <c r="I77" s="17">
        <f>ROUND(VLOOKUP(H$67&amp;"_2",管理者用人口入力シート!BH:CE,J77,FALSE),0)</f>
        <v>889</v>
      </c>
      <c r="J77" s="2">
        <v>12</v>
      </c>
      <c r="K77" s="12"/>
      <c r="N77" s="2" t="s">
        <v>8</v>
      </c>
      <c r="O77" s="17">
        <f>ROUND(VLOOKUP(O$67&amp;"_1",管理者用人口入力シート!CO:DL,Q77,FALSE),0)</f>
        <v>900</v>
      </c>
      <c r="P77" s="17">
        <f>ROUND(VLOOKUP(O$67&amp;"_2",管理者用人口入力シート!CO:DL,Q77,FALSE),0)</f>
        <v>890</v>
      </c>
      <c r="Q77" s="2">
        <v>12</v>
      </c>
      <c r="U77" s="85"/>
    </row>
    <row r="78" spans="1:21" x14ac:dyDescent="0.15">
      <c r="A78" s="2" t="s">
        <v>13</v>
      </c>
      <c r="B78" s="17">
        <f>ROUND(VLOOKUP(B$63&amp;"_1",管理者用人口入力シート!A:X,D78,FALSE),0)</f>
        <v>1390</v>
      </c>
      <c r="C78" s="17">
        <f>ROUND(VLOOKUP(B$63&amp;"_2",管理者用人口入力シート!A:X,D78,FALSE),0)</f>
        <v>1488</v>
      </c>
      <c r="D78" s="2">
        <v>17</v>
      </c>
      <c r="G78" s="2" t="s">
        <v>9</v>
      </c>
      <c r="H78" s="17">
        <f>ROUND(VLOOKUP(H$67&amp;"_1",管理者用人口入力シート!BH:CE,J78,FALSE),0)</f>
        <v>1088</v>
      </c>
      <c r="I78" s="17">
        <f>ROUND(VLOOKUP(H$67&amp;"_2",管理者用人口入力シート!BH:CE,J78,FALSE),0)</f>
        <v>1084</v>
      </c>
      <c r="J78" s="2">
        <v>13</v>
      </c>
      <c r="K78" s="12"/>
      <c r="N78" s="2" t="s">
        <v>9</v>
      </c>
      <c r="O78" s="17">
        <f>ROUND(VLOOKUP(O$67&amp;"_1",管理者用人口入力シート!CO:DL,Q78,FALSE),0)</f>
        <v>1088</v>
      </c>
      <c r="P78" s="17">
        <f>ROUND(VLOOKUP(O$67&amp;"_2",管理者用人口入力シート!CO:DL,Q78,FALSE),0)</f>
        <v>1084</v>
      </c>
      <c r="Q78" s="2">
        <v>13</v>
      </c>
      <c r="U78" s="85"/>
    </row>
    <row r="79" spans="1:21" x14ac:dyDescent="0.15">
      <c r="A79" s="2" t="s">
        <v>14</v>
      </c>
      <c r="B79" s="17">
        <f>ROUND(VLOOKUP(B$63&amp;"_1",管理者用人口入力シート!A:X,D79,FALSE),0)</f>
        <v>878</v>
      </c>
      <c r="C79" s="17">
        <f>ROUND(VLOOKUP(B$63&amp;"_2",管理者用人口入力シート!A:X,D79,FALSE),0)</f>
        <v>1165</v>
      </c>
      <c r="D79" s="2">
        <v>18</v>
      </c>
      <c r="G79" s="2" t="s">
        <v>10</v>
      </c>
      <c r="H79" s="17">
        <f>ROUND(VLOOKUP(H$67&amp;"_1",管理者用人口入力シート!BH:CE,J79,FALSE),0)</f>
        <v>1196</v>
      </c>
      <c r="I79" s="17">
        <f>ROUND(VLOOKUP(H$67&amp;"_2",管理者用人口入力シート!BH:CE,J79,FALSE),0)</f>
        <v>1171</v>
      </c>
      <c r="J79" s="2">
        <v>14</v>
      </c>
      <c r="K79" s="12"/>
      <c r="N79" s="2" t="s">
        <v>10</v>
      </c>
      <c r="O79" s="17">
        <f>ROUND(VLOOKUP(O$67&amp;"_1",管理者用人口入力シート!CO:DL,Q79,FALSE),0)</f>
        <v>1196</v>
      </c>
      <c r="P79" s="17">
        <f>ROUND(VLOOKUP(O$67&amp;"_2",管理者用人口入力シート!CO:DL,Q79,FALSE),0)</f>
        <v>1171</v>
      </c>
      <c r="Q79" s="2">
        <v>14</v>
      </c>
      <c r="U79" s="85"/>
    </row>
    <row r="80" spans="1:21" x14ac:dyDescent="0.15">
      <c r="A80" s="2" t="s">
        <v>15</v>
      </c>
      <c r="B80" s="17">
        <f>ROUND(VLOOKUP(B$63&amp;"_1",管理者用人口入力シート!A:X,D80,FALSE),0)</f>
        <v>827</v>
      </c>
      <c r="C80" s="17">
        <f>ROUND(VLOOKUP(B$63&amp;"_2",管理者用人口入力シート!A:X,D80,FALSE),0)</f>
        <v>1123</v>
      </c>
      <c r="D80" s="2">
        <v>19</v>
      </c>
      <c r="G80" s="2" t="s">
        <v>11</v>
      </c>
      <c r="H80" s="17">
        <f>ROUND(VLOOKUP(H$67&amp;"_1",管理者用人口入力シート!BH:CE,J80,FALSE),0)</f>
        <v>1027</v>
      </c>
      <c r="I80" s="17">
        <f>ROUND(VLOOKUP(H$67&amp;"_2",管理者用人口入力シート!BH:CE,J80,FALSE),0)</f>
        <v>1065</v>
      </c>
      <c r="J80" s="2">
        <v>15</v>
      </c>
      <c r="K80" s="12"/>
      <c r="N80" s="2" t="s">
        <v>11</v>
      </c>
      <c r="O80" s="17">
        <f>ROUND(VLOOKUP(O$67&amp;"_1",管理者用人口入力シート!CO:DL,Q80,FALSE),0)</f>
        <v>1027</v>
      </c>
      <c r="P80" s="17">
        <f>ROUND(VLOOKUP(O$67&amp;"_2",管理者用人口入力シート!CO:DL,Q80,FALSE),0)</f>
        <v>1065</v>
      </c>
      <c r="Q80" s="2">
        <v>15</v>
      </c>
      <c r="U80" s="85"/>
    </row>
    <row r="81" spans="1:21" x14ac:dyDescent="0.15">
      <c r="A81" s="2" t="s">
        <v>16</v>
      </c>
      <c r="B81" s="17">
        <f>ROUND(VLOOKUP(B$63&amp;"_1",管理者用人口入力シート!A:X,D81,FALSE),0)</f>
        <v>711</v>
      </c>
      <c r="C81" s="17">
        <f>ROUND(VLOOKUP(B$63&amp;"_2",管理者用人口入力シート!A:X,D81,FALSE),0)</f>
        <v>1095</v>
      </c>
      <c r="D81" s="2">
        <v>20</v>
      </c>
      <c r="G81" s="2" t="s">
        <v>12</v>
      </c>
      <c r="H81" s="17">
        <f>ROUND(VLOOKUP(H$67&amp;"_1",管理者用人口入力シート!BH:CE,J81,FALSE),0)</f>
        <v>1024</v>
      </c>
      <c r="I81" s="17">
        <f>ROUND(VLOOKUP(H$67&amp;"_2",管理者用人口入力シート!BH:CE,J81,FALSE),0)</f>
        <v>1175</v>
      </c>
      <c r="J81" s="2">
        <v>16</v>
      </c>
      <c r="K81" s="12"/>
      <c r="N81" s="2" t="s">
        <v>12</v>
      </c>
      <c r="O81" s="17">
        <f>ROUND(VLOOKUP(O$67&amp;"_1",管理者用人口入力シート!CO:DL,Q81,FALSE),0)</f>
        <v>1024</v>
      </c>
      <c r="P81" s="17">
        <f>ROUND(VLOOKUP(O$67&amp;"_2",管理者用人口入力シート!CO:DL,Q81,FALSE),0)</f>
        <v>1175</v>
      </c>
      <c r="Q81" s="2">
        <v>16</v>
      </c>
      <c r="U81" s="85"/>
    </row>
    <row r="82" spans="1:21" x14ac:dyDescent="0.15">
      <c r="A82" s="2" t="s">
        <v>17</v>
      </c>
      <c r="B82" s="17">
        <f>ROUND(VLOOKUP(B$63&amp;"_1",管理者用人口入力シート!A:X,D82,FALSE),0)</f>
        <v>365</v>
      </c>
      <c r="C82" s="17">
        <f>ROUND(VLOOKUP(B$63&amp;"_2",管理者用人口入力シート!A:X,D82,FALSE),0)</f>
        <v>872</v>
      </c>
      <c r="D82" s="2">
        <v>21</v>
      </c>
      <c r="G82" s="2" t="s">
        <v>13</v>
      </c>
      <c r="H82" s="17">
        <f>ROUND(VLOOKUP(H$67&amp;"_1",管理者用人口入力シート!BH:CE,J82,FALSE),0)</f>
        <v>1036</v>
      </c>
      <c r="I82" s="17">
        <f>ROUND(VLOOKUP(H$67&amp;"_2",管理者用人口入力シート!BH:CE,J82,FALSE),0)</f>
        <v>1162</v>
      </c>
      <c r="J82" s="2">
        <v>17</v>
      </c>
      <c r="K82" s="12"/>
      <c r="N82" s="2" t="s">
        <v>13</v>
      </c>
      <c r="O82" s="17">
        <f>ROUND(VLOOKUP(O$67&amp;"_1",管理者用人口入力シート!CO:DL,Q82,FALSE),0)</f>
        <v>1036</v>
      </c>
      <c r="P82" s="17">
        <f>ROUND(VLOOKUP(O$67&amp;"_2",管理者用人口入力シート!CO:DL,Q82,FALSE),0)</f>
        <v>1162</v>
      </c>
      <c r="Q82" s="2">
        <v>17</v>
      </c>
      <c r="U82" s="85"/>
    </row>
    <row r="83" spans="1:21" x14ac:dyDescent="0.15">
      <c r="A83" s="2" t="s">
        <v>18</v>
      </c>
      <c r="B83" s="17">
        <f>ROUND(VLOOKUP(B$63&amp;"_1",管理者用人口入力シート!A:X,D83,FALSE),0)</f>
        <v>121</v>
      </c>
      <c r="C83" s="17">
        <f>ROUND(VLOOKUP(B$63&amp;"_2",管理者用人口入力シート!A:X,D83,FALSE),0)</f>
        <v>414</v>
      </c>
      <c r="D83" s="2">
        <v>22</v>
      </c>
      <c r="G83" s="2" t="s">
        <v>14</v>
      </c>
      <c r="H83" s="17">
        <f>ROUND(VLOOKUP(H$67&amp;"_1",管理者用人口入力シート!BH:CE,J83,FALSE),0)</f>
        <v>1104</v>
      </c>
      <c r="I83" s="17">
        <f>ROUND(VLOOKUP(H$67&amp;"_2",管理者用人口入力シート!BH:CE,J83,FALSE),0)</f>
        <v>1325</v>
      </c>
      <c r="J83" s="2">
        <v>18</v>
      </c>
      <c r="K83" s="12"/>
      <c r="N83" s="2" t="s">
        <v>14</v>
      </c>
      <c r="O83" s="17">
        <f>ROUND(VLOOKUP(O$67&amp;"_1",管理者用人口入力シート!CO:DL,Q83,FALSE),0)</f>
        <v>1104</v>
      </c>
      <c r="P83" s="17">
        <f>ROUND(VLOOKUP(O$67&amp;"_2",管理者用人口入力シート!CO:DL,Q83,FALSE),0)</f>
        <v>1325</v>
      </c>
      <c r="Q83" s="2">
        <v>18</v>
      </c>
      <c r="U83" s="85"/>
    </row>
    <row r="84" spans="1:21" x14ac:dyDescent="0.15">
      <c r="A84" s="2" t="s">
        <v>19</v>
      </c>
      <c r="B84" s="17">
        <f>ROUND(VLOOKUP(B$63&amp;"_1",管理者用人口入力シート!A:X,D84,FALSE),0)</f>
        <v>22</v>
      </c>
      <c r="C84" s="17">
        <f>ROUND(VLOOKUP(B$63&amp;"_2",管理者用人口入力シート!A:X,D84,FALSE),0)</f>
        <v>111</v>
      </c>
      <c r="D84" s="2">
        <v>23</v>
      </c>
      <c r="G84" s="2" t="s">
        <v>15</v>
      </c>
      <c r="H84" s="17">
        <f>ROUND(VLOOKUP(H$67&amp;"_1",管理者用人口入力シート!BH:CE,J84,FALSE),0)</f>
        <v>1115</v>
      </c>
      <c r="I84" s="17">
        <f>ROUND(VLOOKUP(H$67&amp;"_2",管理者用人口入力シート!BH:CE,J84,FALSE),0)</f>
        <v>1347</v>
      </c>
      <c r="J84" s="2">
        <v>19</v>
      </c>
      <c r="K84" s="12"/>
      <c r="N84" s="2" t="s">
        <v>15</v>
      </c>
      <c r="O84" s="17">
        <f>ROUND(VLOOKUP(O$67&amp;"_1",管理者用人口入力シート!CO:DL,Q84,FALSE),0)</f>
        <v>1115</v>
      </c>
      <c r="P84" s="17">
        <f>ROUND(VLOOKUP(O$67&amp;"_2",管理者用人口入力シート!CO:DL,Q84,FALSE),0)</f>
        <v>1347</v>
      </c>
      <c r="Q84" s="2">
        <v>19</v>
      </c>
      <c r="U84" s="85"/>
    </row>
    <row r="85" spans="1:21" x14ac:dyDescent="0.15">
      <c r="A85" s="2" t="s">
        <v>20</v>
      </c>
      <c r="B85" s="17">
        <f>ROUND(VLOOKUP(B$63&amp;"_1",管理者用人口入力シート!A:X,D85,FALSE),0)</f>
        <v>5</v>
      </c>
      <c r="C85" s="17">
        <f>ROUND(VLOOKUP(B$63&amp;"_2",管理者用人口入力シート!A:X,D85,FALSE),0)</f>
        <v>19</v>
      </c>
      <c r="D85" s="2">
        <v>24</v>
      </c>
      <c r="G85" s="2" t="s">
        <v>16</v>
      </c>
      <c r="H85" s="17">
        <f>ROUND(VLOOKUP(H$67&amp;"_1",管理者用人口入力シート!BH:CE,J85,FALSE),0)</f>
        <v>618</v>
      </c>
      <c r="I85" s="17">
        <f>ROUND(VLOOKUP(H$67&amp;"_2",管理者用人口入力シート!BH:CE,J85,FALSE),0)</f>
        <v>979</v>
      </c>
      <c r="J85" s="2">
        <v>20</v>
      </c>
      <c r="K85" s="12"/>
      <c r="N85" s="2" t="s">
        <v>16</v>
      </c>
      <c r="O85" s="17">
        <f>ROUND(VLOOKUP(O$67&amp;"_1",管理者用人口入力シート!CO:DL,Q85,FALSE),0)</f>
        <v>618</v>
      </c>
      <c r="P85" s="17">
        <f>ROUND(VLOOKUP(O$67&amp;"_2",管理者用人口入力シート!CO:DL,Q85,FALSE),0)</f>
        <v>979</v>
      </c>
      <c r="Q85" s="2">
        <v>20</v>
      </c>
      <c r="U85" s="85"/>
    </row>
    <row r="86" spans="1:21" x14ac:dyDescent="0.15">
      <c r="G86" s="2" t="s">
        <v>17</v>
      </c>
      <c r="H86" s="17">
        <f>ROUND(VLOOKUP(H$67&amp;"_1",管理者用人口入力シート!BH:CE,J86,FALSE),0)</f>
        <v>427</v>
      </c>
      <c r="I86" s="17">
        <f>ROUND(VLOOKUP(H$67&amp;"_2",管理者用人口入力シート!BH:CE,J86,FALSE),0)</f>
        <v>786</v>
      </c>
      <c r="J86" s="2">
        <v>21</v>
      </c>
      <c r="K86" s="12"/>
      <c r="N86" s="2" t="s">
        <v>17</v>
      </c>
      <c r="O86" s="17">
        <f>ROUND(VLOOKUP(O$67&amp;"_1",管理者用人口入力シート!CO:DL,Q86,FALSE),0)</f>
        <v>427</v>
      </c>
      <c r="P86" s="17">
        <f>ROUND(VLOOKUP(O$67&amp;"_2",管理者用人口入力シート!CO:DL,Q86,FALSE),0)</f>
        <v>786</v>
      </c>
      <c r="Q86" s="2">
        <v>21</v>
      </c>
      <c r="U86" s="85"/>
    </row>
    <row r="87" spans="1:21" x14ac:dyDescent="0.15">
      <c r="A87" s="2" t="s">
        <v>62</v>
      </c>
      <c r="B87" s="316">
        <f>管理者入力シート!B5</f>
        <v>2020</v>
      </c>
      <c r="C87" s="317"/>
      <c r="D87" s="2" t="s">
        <v>114</v>
      </c>
      <c r="G87" s="2" t="s">
        <v>18</v>
      </c>
      <c r="H87" s="17">
        <f>ROUND(VLOOKUP(H$67&amp;"_1",管理者用人口入力シート!BH:CE,J87,FALSE),0)</f>
        <v>220</v>
      </c>
      <c r="I87" s="17">
        <f>ROUND(VLOOKUP(H$67&amp;"_2",管理者用人口入力シート!BH:CE,J87,FALSE),0)</f>
        <v>553</v>
      </c>
      <c r="J87" s="2">
        <v>22</v>
      </c>
      <c r="K87" s="12"/>
      <c r="N87" s="2" t="s">
        <v>18</v>
      </c>
      <c r="O87" s="17">
        <f>ROUND(VLOOKUP(O$67&amp;"_1",管理者用人口入力シート!CO:DL,Q87,FALSE),0)</f>
        <v>220</v>
      </c>
      <c r="P87" s="17">
        <f>ROUND(VLOOKUP(O$67&amp;"_2",管理者用人口入力シート!CO:DL,Q87,FALSE),0)</f>
        <v>553</v>
      </c>
      <c r="Q87" s="2">
        <v>22</v>
      </c>
      <c r="U87" s="85"/>
    </row>
    <row r="88" spans="1:21" x14ac:dyDescent="0.15">
      <c r="A88" s="2" t="s">
        <v>115</v>
      </c>
      <c r="B88" s="18" t="s">
        <v>21</v>
      </c>
      <c r="C88" s="18" t="s">
        <v>22</v>
      </c>
      <c r="G88" s="2" t="s">
        <v>19</v>
      </c>
      <c r="H88" s="17">
        <f>ROUND(VLOOKUP(H$67&amp;"_1",管理者用人口入力シート!BH:CE,J88,FALSE),0)</f>
        <v>48</v>
      </c>
      <c r="I88" s="17">
        <f>ROUND(VLOOKUP(H$67&amp;"_2",管理者用人口入力シート!BH:CE,J88,FALSE),0)</f>
        <v>209</v>
      </c>
      <c r="J88" s="2">
        <v>23</v>
      </c>
      <c r="K88" s="12"/>
      <c r="N88" s="2" t="s">
        <v>19</v>
      </c>
      <c r="O88" s="17">
        <f>ROUND(VLOOKUP(O$67&amp;"_1",管理者用人口入力シート!CO:DL,Q88,FALSE),0)</f>
        <v>48</v>
      </c>
      <c r="P88" s="17">
        <f>ROUND(VLOOKUP(O$67&amp;"_2",管理者用人口入力シート!CO:DL,Q88,FALSE),0)</f>
        <v>209</v>
      </c>
      <c r="Q88" s="2">
        <v>23</v>
      </c>
      <c r="U88" s="85"/>
    </row>
    <row r="89" spans="1:21" x14ac:dyDescent="0.15">
      <c r="A89" s="2" t="s">
        <v>0</v>
      </c>
      <c r="B89" s="17">
        <f>ROUND(VLOOKUP(B$87&amp;"_1",管理者用人口入力シート!A:X,D89,FALSE),0)</f>
        <v>722</v>
      </c>
      <c r="C89" s="17">
        <f>ROUND(VLOOKUP(B$87&amp;"_2",管理者用人口入力シート!A:X,D89,FALSE),0)</f>
        <v>689</v>
      </c>
      <c r="D89" s="2">
        <v>4</v>
      </c>
      <c r="G89" s="2" t="s">
        <v>20</v>
      </c>
      <c r="H89" s="17">
        <f>ROUND(VLOOKUP(H$67&amp;"_1",管理者用人口入力シート!BH:CE,J89,FALSE),0)</f>
        <v>3</v>
      </c>
      <c r="I89" s="17">
        <f>ROUND(VLOOKUP(H$67&amp;"_2",管理者用人口入力シート!BH:CE,J89,FALSE),0)</f>
        <v>42</v>
      </c>
      <c r="J89" s="2">
        <v>24</v>
      </c>
      <c r="K89" s="12"/>
      <c r="N89" s="2" t="s">
        <v>20</v>
      </c>
      <c r="O89" s="17">
        <f>ROUND(VLOOKUP(O$67&amp;"_1",管理者用人口入力シート!CO:DL,Q89,FALSE),0)</f>
        <v>3</v>
      </c>
      <c r="P89" s="17">
        <f>ROUND(VLOOKUP(O$67&amp;"_2",管理者用人口入力シート!CO:DL,Q89,FALSE),0)</f>
        <v>42</v>
      </c>
      <c r="Q89" s="2">
        <v>24</v>
      </c>
      <c r="U89" s="85"/>
    </row>
    <row r="90" spans="1:21" x14ac:dyDescent="0.15">
      <c r="A90" s="2" t="s">
        <v>1</v>
      </c>
      <c r="B90" s="17">
        <f>ROUND(VLOOKUP(B$87&amp;"_1",管理者用人口入力シート!A:X,D90,FALSE),0)</f>
        <v>821</v>
      </c>
      <c r="C90" s="17">
        <f>ROUND(VLOOKUP(B$87&amp;"_2",管理者用人口入力シート!A:X,D90,FALSE),0)</f>
        <v>720</v>
      </c>
      <c r="D90" s="2">
        <v>5</v>
      </c>
    </row>
    <row r="91" spans="1:21" x14ac:dyDescent="0.15">
      <c r="A91" s="2" t="s">
        <v>2</v>
      </c>
      <c r="B91" s="17">
        <f>ROUND(VLOOKUP(B$87&amp;"_1",管理者用人口入力シート!A:X,D91,FALSE),0)</f>
        <v>855</v>
      </c>
      <c r="C91" s="17">
        <f>ROUND(VLOOKUP(B$87&amp;"_2",管理者用人口入力シート!A:X,D91,FALSE),0)</f>
        <v>797</v>
      </c>
      <c r="D91" s="2">
        <v>6</v>
      </c>
      <c r="G91" s="2" t="s">
        <v>107</v>
      </c>
      <c r="H91" s="316">
        <f>管理者入力シート!B9</f>
        <v>2030</v>
      </c>
      <c r="I91" s="317"/>
      <c r="J91" s="2" t="s">
        <v>114</v>
      </c>
      <c r="K91" s="209"/>
      <c r="O91" s="316">
        <f>管理者入力シート!B9</f>
        <v>2030</v>
      </c>
      <c r="P91" s="317"/>
      <c r="Q91" s="2" t="s">
        <v>114</v>
      </c>
    </row>
    <row r="92" spans="1:21" x14ac:dyDescent="0.15">
      <c r="A92" s="2" t="s">
        <v>3</v>
      </c>
      <c r="B92" s="17">
        <f>ROUND(VLOOKUP(B$87&amp;"_1",管理者用人口入力シート!A:X,D92,FALSE),0)</f>
        <v>768</v>
      </c>
      <c r="C92" s="17">
        <f>ROUND(VLOOKUP(B$87&amp;"_2",管理者用人口入力シート!A:X,D92,FALSE),0)</f>
        <v>722</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673</v>
      </c>
      <c r="C93" s="17">
        <f>ROUND(VLOOKUP(B$87&amp;"_2",管理者用人口入力シート!A:X,D93,FALSE),0)</f>
        <v>576</v>
      </c>
      <c r="D93" s="2">
        <v>8</v>
      </c>
      <c r="G93" s="2" t="s">
        <v>0</v>
      </c>
      <c r="H93" s="17">
        <f>ROUND(VLOOKUP(H$91&amp;"_1",管理者用人口入力シート!BH:CE,J93,FALSE),0)</f>
        <v>541</v>
      </c>
      <c r="I93" s="17">
        <f>ROUND(VLOOKUP(H$91&amp;"_2",管理者用人口入力シート!BH:CE,J93,FALSE),0)</f>
        <v>516</v>
      </c>
      <c r="J93" s="2">
        <v>4</v>
      </c>
      <c r="K93" s="12"/>
      <c r="N93" s="2" t="s">
        <v>0</v>
      </c>
      <c r="O93" s="17">
        <f>ROUND(VLOOKUP(O$91&amp;"_1",管理者用人口入力シート!CO:DL,Q93,FALSE),0)</f>
        <v>543</v>
      </c>
      <c r="P93" s="17">
        <f>ROUND(VLOOKUP(O$91&amp;"_2",管理者用人口入力シート!CO:DL,Q93,FALSE),0)</f>
        <v>518</v>
      </c>
      <c r="Q93" s="2">
        <v>4</v>
      </c>
      <c r="T93" s="85"/>
    </row>
    <row r="94" spans="1:21" x14ac:dyDescent="0.15">
      <c r="A94" s="2" t="s">
        <v>5</v>
      </c>
      <c r="B94" s="17">
        <f>ROUND(VLOOKUP(B$87&amp;"_1",管理者用人口入力シート!A:X,D94,FALSE),0)</f>
        <v>897</v>
      </c>
      <c r="C94" s="17">
        <f>ROUND(VLOOKUP(B$87&amp;"_2",管理者用人口入力シート!A:X,D94,FALSE),0)</f>
        <v>646</v>
      </c>
      <c r="D94" s="2">
        <v>9</v>
      </c>
      <c r="G94" s="2" t="s">
        <v>1</v>
      </c>
      <c r="H94" s="17">
        <f>ROUND(VLOOKUP(H$91&amp;"_1",管理者用人口入力シート!BH:CE,J94,FALSE),0)</f>
        <v>557</v>
      </c>
      <c r="I94" s="17">
        <f>ROUND(VLOOKUP(H$91&amp;"_2",管理者用人口入力シート!BH:CE,J94,FALSE),0)</f>
        <v>554</v>
      </c>
      <c r="J94" s="2">
        <v>5</v>
      </c>
      <c r="K94" s="12"/>
      <c r="N94" s="2" t="s">
        <v>1</v>
      </c>
      <c r="O94" s="17">
        <f>ROUND(VLOOKUP(O$91&amp;"_1",管理者用人口入力シート!CO:DL,Q94,FALSE),0)</f>
        <v>558</v>
      </c>
      <c r="P94" s="17">
        <f>ROUND(VLOOKUP(O$91&amp;"_2",管理者用人口入力シート!CO:DL,Q94,FALSE),0)</f>
        <v>555</v>
      </c>
      <c r="Q94" s="2">
        <v>5</v>
      </c>
      <c r="T94" s="85"/>
    </row>
    <row r="95" spans="1:21" x14ac:dyDescent="0.15">
      <c r="A95" s="2" t="s">
        <v>6</v>
      </c>
      <c r="B95" s="17">
        <f>ROUND(VLOOKUP(B$87&amp;"_1",管理者用人口入力シート!A:X,D95,FALSE),0)</f>
        <v>832</v>
      </c>
      <c r="C95" s="17">
        <f>ROUND(VLOOKUP(B$87&amp;"_2",管理者用人口入力シート!A:X,D95,FALSE),0)</f>
        <v>834</v>
      </c>
      <c r="D95" s="2">
        <v>10</v>
      </c>
      <c r="G95" s="2" t="s">
        <v>2</v>
      </c>
      <c r="H95" s="17">
        <f>ROUND(VLOOKUP(H$91&amp;"_1",管理者用人口入力シート!BH:CE,J95,FALSE),0)</f>
        <v>620</v>
      </c>
      <c r="I95" s="17">
        <f>ROUND(VLOOKUP(H$91&amp;"_2",管理者用人口入力シート!BH:CE,J95,FALSE),0)</f>
        <v>614</v>
      </c>
      <c r="J95" s="2">
        <v>6</v>
      </c>
      <c r="K95" s="12"/>
      <c r="N95" s="2" t="s">
        <v>2</v>
      </c>
      <c r="O95" s="17">
        <f>ROUND(VLOOKUP(O$91&amp;"_1",管理者用人口入力シート!CO:DL,Q95,FALSE),0)</f>
        <v>621</v>
      </c>
      <c r="P95" s="17">
        <f>ROUND(VLOOKUP(O$91&amp;"_2",管理者用人口入力シート!CO:DL,Q95,FALSE),0)</f>
        <v>615</v>
      </c>
      <c r="Q95" s="2">
        <v>6</v>
      </c>
      <c r="T95" s="85"/>
    </row>
    <row r="96" spans="1:21" x14ac:dyDescent="0.15">
      <c r="A96" s="2" t="s">
        <v>7</v>
      </c>
      <c r="B96" s="17">
        <f>ROUND(VLOOKUP(B$87&amp;"_1",管理者用人口入力シート!A:X,D96,FALSE),0)</f>
        <v>945</v>
      </c>
      <c r="C96" s="17">
        <f>ROUND(VLOOKUP(B$87&amp;"_2",管理者用人口入力シート!A:X,D96,FALSE),0)</f>
        <v>929</v>
      </c>
      <c r="D96" s="2">
        <v>11</v>
      </c>
      <c r="G96" s="2" t="s">
        <v>3</v>
      </c>
      <c r="H96" s="17">
        <f>ROUND(VLOOKUP(H$91&amp;"_1",管理者用人口入力シート!BH:CE,J96,FALSE),0)</f>
        <v>646</v>
      </c>
      <c r="I96" s="17">
        <f>ROUND(VLOOKUP(H$91&amp;"_2",管理者用人口入力シート!BH:CE,J96,FALSE),0)</f>
        <v>591</v>
      </c>
      <c r="J96" s="2">
        <v>7</v>
      </c>
      <c r="K96" s="12"/>
      <c r="N96" s="2" t="s">
        <v>3</v>
      </c>
      <c r="O96" s="17">
        <f>ROUND(VLOOKUP(O$91&amp;"_1",管理者用人口入力シート!CO:DL,Q96,FALSE),0)</f>
        <v>647</v>
      </c>
      <c r="P96" s="17">
        <f>ROUND(VLOOKUP(O$91&amp;"_2",管理者用人口入力シート!CO:DL,Q96,FALSE),0)</f>
        <v>592</v>
      </c>
      <c r="Q96" s="2">
        <v>7</v>
      </c>
      <c r="T96" s="85"/>
    </row>
    <row r="97" spans="1:20" x14ac:dyDescent="0.15">
      <c r="A97" s="2" t="s">
        <v>8</v>
      </c>
      <c r="B97" s="17">
        <f>ROUND(VLOOKUP(B$87&amp;"_1",管理者用人口入力シート!A:X,D97,FALSE),0)</f>
        <v>1087</v>
      </c>
      <c r="C97" s="17">
        <f>ROUND(VLOOKUP(B$87&amp;"_2",管理者用人口入力シート!A:X,D97,FALSE),0)</f>
        <v>1133</v>
      </c>
      <c r="D97" s="2">
        <v>12</v>
      </c>
      <c r="G97" s="2" t="s">
        <v>4</v>
      </c>
      <c r="H97" s="17">
        <f>ROUND(VLOOKUP(H$91&amp;"_1",管理者用人口入力シート!BH:CE,J97,FALSE),0)</f>
        <v>579</v>
      </c>
      <c r="I97" s="17">
        <f>ROUND(VLOOKUP(H$91&amp;"_2",管理者用人口入力シート!BH:CE,J97,FALSE),0)</f>
        <v>495</v>
      </c>
      <c r="J97" s="2">
        <v>8</v>
      </c>
      <c r="K97" s="12"/>
      <c r="N97" s="2" t="s">
        <v>4</v>
      </c>
      <c r="O97" s="17">
        <f>ROUND(VLOOKUP(O$91&amp;"_1",管理者用人口入力シート!CO:DL,Q97,FALSE),0)</f>
        <v>579</v>
      </c>
      <c r="P97" s="17">
        <f>ROUND(VLOOKUP(O$91&amp;"_2",管理者用人口入力シート!CO:DL,Q97,FALSE),0)</f>
        <v>495</v>
      </c>
      <c r="Q97" s="2">
        <v>8</v>
      </c>
      <c r="T97" s="85"/>
    </row>
    <row r="98" spans="1:20" x14ac:dyDescent="0.15">
      <c r="A98" s="2" t="s">
        <v>9</v>
      </c>
      <c r="B98" s="17">
        <f>ROUND(VLOOKUP(B$87&amp;"_1",管理者用人口入力シート!A:X,D98,FALSE),0)</f>
        <v>1240</v>
      </c>
      <c r="C98" s="17">
        <f>ROUND(VLOOKUP(B$87&amp;"_2",管理者用人口入力シート!A:X,D98,FALSE),0)</f>
        <v>1184</v>
      </c>
      <c r="D98" s="2">
        <v>13</v>
      </c>
      <c r="G98" s="2" t="s">
        <v>5</v>
      </c>
      <c r="H98" s="17">
        <f>ROUND(VLOOKUP(H$91&amp;"_1",管理者用人口入力シート!BH:CE,J98,FALSE),0)</f>
        <v>795</v>
      </c>
      <c r="I98" s="17">
        <f>ROUND(VLOOKUP(H$91&amp;"_2",管理者用人口入力シート!BH:CE,J98,FALSE),0)</f>
        <v>575</v>
      </c>
      <c r="J98" s="2">
        <v>9</v>
      </c>
      <c r="K98" s="12"/>
      <c r="N98" s="2" t="s">
        <v>5</v>
      </c>
      <c r="O98" s="17">
        <f>ROUND(VLOOKUP(O$91&amp;"_1",管理者用人口入力シート!CO:DL,Q98,FALSE),0)</f>
        <v>797</v>
      </c>
      <c r="P98" s="17">
        <f>ROUND(VLOOKUP(O$91&amp;"_2",管理者用人口入力シート!CO:DL,Q98,FALSE),0)</f>
        <v>577</v>
      </c>
      <c r="Q98" s="2">
        <v>9</v>
      </c>
      <c r="T98" s="85"/>
    </row>
    <row r="99" spans="1:20" x14ac:dyDescent="0.15">
      <c r="A99" s="2" t="s">
        <v>10</v>
      </c>
      <c r="B99" s="17">
        <f>ROUND(VLOOKUP(B$87&amp;"_1",管理者用人口入力シート!A:X,D99,FALSE),0)</f>
        <v>1019</v>
      </c>
      <c r="C99" s="17">
        <f>ROUND(VLOOKUP(B$87&amp;"_2",管理者用人口入力シート!A:X,D99,FALSE),0)</f>
        <v>1078</v>
      </c>
      <c r="D99" s="2">
        <v>14</v>
      </c>
      <c r="G99" s="2" t="s">
        <v>6</v>
      </c>
      <c r="H99" s="17">
        <f>ROUND(VLOOKUP(H$91&amp;"_1",管理者用人口入力シート!BH:CE,J99,FALSE),0)</f>
        <v>799</v>
      </c>
      <c r="I99" s="17">
        <f>ROUND(VLOOKUP(H$91&amp;"_2",管理者用人口入力シート!BH:CE,J99,FALSE),0)</f>
        <v>602</v>
      </c>
      <c r="J99" s="2">
        <v>10</v>
      </c>
      <c r="K99" s="12"/>
      <c r="N99" s="2" t="s">
        <v>6</v>
      </c>
      <c r="O99" s="17">
        <f>ROUND(VLOOKUP(O$91&amp;"_1",管理者用人口入力シート!CO:DL,Q99,FALSE),0)</f>
        <v>801</v>
      </c>
      <c r="P99" s="17">
        <f>ROUND(VLOOKUP(O$91&amp;"_2",管理者用人口入力シート!CO:DL,Q99,FALSE),0)</f>
        <v>604</v>
      </c>
      <c r="Q99" s="2">
        <v>10</v>
      </c>
      <c r="T99" s="85"/>
    </row>
    <row r="100" spans="1:20" x14ac:dyDescent="0.15">
      <c r="A100" s="2" t="s">
        <v>11</v>
      </c>
      <c r="B100" s="17">
        <f>ROUND(VLOOKUP(B$87&amp;"_1",管理者用人口入力シート!A:X,D100,FALSE),0)</f>
        <v>1086</v>
      </c>
      <c r="C100" s="17">
        <f>ROUND(VLOOKUP(B$87&amp;"_2",管理者用人口入力シート!A:X,D100,FALSE),0)</f>
        <v>1210</v>
      </c>
      <c r="D100" s="2">
        <v>15</v>
      </c>
      <c r="G100" s="2" t="s">
        <v>7</v>
      </c>
      <c r="H100" s="17">
        <f>ROUND(VLOOKUP(H$91&amp;"_1",管理者用人口入力シート!BH:CE,J100,FALSE),0)</f>
        <v>768</v>
      </c>
      <c r="I100" s="17">
        <f>ROUND(VLOOKUP(H$91&amp;"_2",管理者用人口入力シート!BH:CE,J100,FALSE),0)</f>
        <v>563</v>
      </c>
      <c r="J100" s="2">
        <v>11</v>
      </c>
      <c r="K100" s="12"/>
      <c r="N100" s="2" t="s">
        <v>7</v>
      </c>
      <c r="O100" s="17">
        <f>ROUND(VLOOKUP(O$91&amp;"_1",管理者用人口入力シート!CO:DL,Q100,FALSE),0)</f>
        <v>768</v>
      </c>
      <c r="P100" s="17">
        <f>ROUND(VLOOKUP(O$91&amp;"_2",管理者用人口入力シート!CO:DL,Q100,FALSE),0)</f>
        <v>563</v>
      </c>
      <c r="Q100" s="2">
        <v>11</v>
      </c>
      <c r="T100" s="85"/>
    </row>
    <row r="101" spans="1:20" x14ac:dyDescent="0.15">
      <c r="A101" s="2" t="s">
        <v>12</v>
      </c>
      <c r="B101" s="17">
        <f>ROUND(VLOOKUP(B$87&amp;"_1",管理者用人口入力シート!A:X,D101,FALSE),0)</f>
        <v>1095</v>
      </c>
      <c r="C101" s="17">
        <f>ROUND(VLOOKUP(B$87&amp;"_2",管理者用人口入力シート!A:X,D101,FALSE),0)</f>
        <v>1225</v>
      </c>
      <c r="D101" s="2">
        <v>16</v>
      </c>
      <c r="G101" s="2" t="s">
        <v>8</v>
      </c>
      <c r="H101" s="17">
        <f>ROUND(VLOOKUP(H$91&amp;"_1",管理者用人口入力シート!BH:CE,J101,FALSE),0)</f>
        <v>727</v>
      </c>
      <c r="I101" s="17">
        <f>ROUND(VLOOKUP(H$91&amp;"_2",管理者用人口入力シート!BH:CE,J101,FALSE),0)</f>
        <v>743</v>
      </c>
      <c r="J101" s="2">
        <v>12</v>
      </c>
      <c r="K101" s="12"/>
      <c r="N101" s="2" t="s">
        <v>8</v>
      </c>
      <c r="O101" s="17">
        <f>ROUND(VLOOKUP(O$91&amp;"_1",管理者用人口入力シート!CO:DL,Q101,FALSE),0)</f>
        <v>727</v>
      </c>
      <c r="P101" s="17">
        <f>ROUND(VLOOKUP(O$91&amp;"_2",管理者用人口入力シート!CO:DL,Q101,FALSE),0)</f>
        <v>744</v>
      </c>
      <c r="Q101" s="2">
        <v>12</v>
      </c>
      <c r="T101" s="85"/>
    </row>
    <row r="102" spans="1:20" x14ac:dyDescent="0.15">
      <c r="A102" s="2" t="s">
        <v>13</v>
      </c>
      <c r="B102" s="17">
        <f>ROUND(VLOOKUP(B$87&amp;"_1",管理者用人口入力シート!A:X,D102,FALSE),0)</f>
        <v>1230</v>
      </c>
      <c r="C102" s="17">
        <f>ROUND(VLOOKUP(B$87&amp;"_2",管理者用人口入力シート!A:X,D102,FALSE),0)</f>
        <v>1389</v>
      </c>
      <c r="D102" s="2">
        <v>17</v>
      </c>
      <c r="G102" s="2" t="s">
        <v>9</v>
      </c>
      <c r="H102" s="17">
        <f>ROUND(VLOOKUP(H$91&amp;"_1",管理者用人口入力シート!BH:CE,J102,FALSE),0)</f>
        <v>900</v>
      </c>
      <c r="I102" s="17">
        <f>ROUND(VLOOKUP(H$91&amp;"_2",管理者用人口入力シート!BH:CE,J102,FALSE),0)</f>
        <v>851</v>
      </c>
      <c r="J102" s="2">
        <v>13</v>
      </c>
      <c r="K102" s="12"/>
      <c r="N102" s="2" t="s">
        <v>9</v>
      </c>
      <c r="O102" s="17">
        <f>ROUND(VLOOKUP(O$91&amp;"_1",管理者用人口入力シート!CO:DL,Q102,FALSE),0)</f>
        <v>900</v>
      </c>
      <c r="P102" s="17">
        <f>ROUND(VLOOKUP(O$91&amp;"_2",管理者用人口入力シート!CO:DL,Q102,FALSE),0)</f>
        <v>852</v>
      </c>
      <c r="Q102" s="2">
        <v>13</v>
      </c>
      <c r="T102" s="85"/>
    </row>
    <row r="103" spans="1:20" x14ac:dyDescent="0.15">
      <c r="A103" s="2" t="s">
        <v>14</v>
      </c>
      <c r="B103" s="17">
        <f>ROUND(VLOOKUP(B$87&amp;"_1",管理者用人口入力シート!A:X,D103,FALSE),0)</f>
        <v>1279</v>
      </c>
      <c r="C103" s="17">
        <f>ROUND(VLOOKUP(B$87&amp;"_2",管理者用人口入力シート!A:X,D103,FALSE),0)</f>
        <v>1439</v>
      </c>
      <c r="D103" s="2">
        <v>18</v>
      </c>
      <c r="G103" s="2" t="s">
        <v>10</v>
      </c>
      <c r="H103" s="17">
        <f>ROUND(VLOOKUP(H$91&amp;"_1",管理者用人口入力シート!BH:CE,J103,FALSE),0)</f>
        <v>1049</v>
      </c>
      <c r="I103" s="17">
        <f>ROUND(VLOOKUP(H$91&amp;"_2",管理者用人口入力シート!BH:CE,J103,FALSE),0)</f>
        <v>1072</v>
      </c>
      <c r="J103" s="2">
        <v>14</v>
      </c>
      <c r="K103" s="12"/>
      <c r="N103" s="2" t="s">
        <v>10</v>
      </c>
      <c r="O103" s="17">
        <f>ROUND(VLOOKUP(O$91&amp;"_1",管理者用人口入力シート!CO:DL,Q103,FALSE),0)</f>
        <v>1049</v>
      </c>
      <c r="P103" s="17">
        <f>ROUND(VLOOKUP(O$91&amp;"_2",管理者用人口入力シート!CO:DL,Q103,FALSE),0)</f>
        <v>1072</v>
      </c>
      <c r="Q103" s="2">
        <v>14</v>
      </c>
      <c r="T103" s="85"/>
    </row>
    <row r="104" spans="1:20" x14ac:dyDescent="0.15">
      <c r="A104" s="2" t="s">
        <v>15</v>
      </c>
      <c r="B104" s="17">
        <f>ROUND(VLOOKUP(B$87&amp;"_1",管理者用人口入力シート!A:X,D104,FALSE),0)</f>
        <v>784</v>
      </c>
      <c r="C104" s="17">
        <f>ROUND(VLOOKUP(B$87&amp;"_2",管理者用人口入力シート!A:X,D104,FALSE),0)</f>
        <v>1110</v>
      </c>
      <c r="D104" s="2">
        <v>19</v>
      </c>
      <c r="G104" s="2" t="s">
        <v>11</v>
      </c>
      <c r="H104" s="17">
        <f>ROUND(VLOOKUP(H$91&amp;"_1",管理者用人口入力シート!BH:CE,J104,FALSE),0)</f>
        <v>1205</v>
      </c>
      <c r="I104" s="17">
        <f>ROUND(VLOOKUP(H$91&amp;"_2",管理者用人口入力シート!BH:CE,J104,FALSE),0)</f>
        <v>1156</v>
      </c>
      <c r="J104" s="2">
        <v>15</v>
      </c>
      <c r="K104" s="12"/>
      <c r="N104" s="2" t="s">
        <v>11</v>
      </c>
      <c r="O104" s="17">
        <f>ROUND(VLOOKUP(O$91&amp;"_1",管理者用人口入力シート!CO:DL,Q104,FALSE),0)</f>
        <v>1205</v>
      </c>
      <c r="P104" s="17">
        <f>ROUND(VLOOKUP(O$91&amp;"_2",管理者用人口入力シート!CO:DL,Q104,FALSE),0)</f>
        <v>1156</v>
      </c>
      <c r="Q104" s="2">
        <v>15</v>
      </c>
      <c r="T104" s="85"/>
    </row>
    <row r="105" spans="1:20" x14ac:dyDescent="0.15">
      <c r="A105" s="2" t="s">
        <v>16</v>
      </c>
      <c r="B105" s="17">
        <f>ROUND(VLOOKUP(B$87&amp;"_1",管理者用人口入力シート!A:X,D105,FALSE),0)</f>
        <v>677</v>
      </c>
      <c r="C105" s="17">
        <f>ROUND(VLOOKUP(B$87&amp;"_2",管理者用人口入力シート!A:X,D105,FALSE),0)</f>
        <v>1009</v>
      </c>
      <c r="D105" s="2">
        <v>20</v>
      </c>
      <c r="G105" s="2" t="s">
        <v>12</v>
      </c>
      <c r="H105" s="17">
        <f>ROUND(VLOOKUP(H$91&amp;"_1",管理者用人口入力シート!BH:CE,J105,FALSE),0)</f>
        <v>968</v>
      </c>
      <c r="I105" s="17">
        <f>ROUND(VLOOKUP(H$91&amp;"_2",管理者用人口入力シート!BH:CE,J105,FALSE),0)</f>
        <v>1033</v>
      </c>
      <c r="J105" s="2">
        <v>16</v>
      </c>
      <c r="K105" s="12"/>
      <c r="N105" s="2" t="s">
        <v>12</v>
      </c>
      <c r="O105" s="17">
        <f>ROUND(VLOOKUP(O$91&amp;"_1",管理者用人口入力シート!CO:DL,Q105,FALSE),0)</f>
        <v>968</v>
      </c>
      <c r="P105" s="17">
        <f>ROUND(VLOOKUP(O$91&amp;"_2",管理者用人口入力シート!CO:DL,Q105,FALSE),0)</f>
        <v>1033</v>
      </c>
      <c r="Q105" s="2">
        <v>16</v>
      </c>
      <c r="T105" s="85"/>
    </row>
    <row r="106" spans="1:20" x14ac:dyDescent="0.15">
      <c r="A106" s="2" t="s">
        <v>17</v>
      </c>
      <c r="B106" s="17">
        <f>ROUND(VLOOKUP(B$87&amp;"_1",管理者用人口入力シート!A:X,D106,FALSE),0)</f>
        <v>452</v>
      </c>
      <c r="C106" s="17">
        <f>ROUND(VLOOKUP(B$87&amp;"_2",管理者用人口入力シート!A:X,D106,FALSE),0)</f>
        <v>881</v>
      </c>
      <c r="D106" s="2">
        <v>21</v>
      </c>
      <c r="G106" s="2" t="s">
        <v>13</v>
      </c>
      <c r="H106" s="17">
        <f>ROUND(VLOOKUP(H$91&amp;"_1",管理者用人口入力シート!BH:CE,J106,FALSE),0)</f>
        <v>969</v>
      </c>
      <c r="I106" s="17">
        <f>ROUND(VLOOKUP(H$91&amp;"_2",管理者用人口入力シート!BH:CE,J106,FALSE),0)</f>
        <v>1115</v>
      </c>
      <c r="J106" s="2">
        <v>17</v>
      </c>
      <c r="K106" s="12"/>
      <c r="N106" s="2" t="s">
        <v>13</v>
      </c>
      <c r="O106" s="17">
        <f>ROUND(VLOOKUP(O$91&amp;"_1",管理者用人口入力シート!CO:DL,Q106,FALSE),0)</f>
        <v>969</v>
      </c>
      <c r="P106" s="17">
        <f>ROUND(VLOOKUP(O$91&amp;"_2",管理者用人口入力シート!CO:DL,Q106,FALSE),0)</f>
        <v>1115</v>
      </c>
      <c r="Q106" s="2">
        <v>17</v>
      </c>
      <c r="T106" s="85"/>
    </row>
    <row r="107" spans="1:20" x14ac:dyDescent="0.15">
      <c r="A107" s="2" t="s">
        <v>18</v>
      </c>
      <c r="B107" s="17">
        <f>ROUND(VLOOKUP(B$87&amp;"_1",管理者用人口入力シート!A:X,D107,FALSE),0)</f>
        <v>175</v>
      </c>
      <c r="C107" s="17">
        <f>ROUND(VLOOKUP(B$87&amp;"_2",管理者用人口入力シート!A:X,D107,FALSE),0)</f>
        <v>528</v>
      </c>
      <c r="D107" s="2">
        <v>22</v>
      </c>
      <c r="G107" s="2" t="s">
        <v>14</v>
      </c>
      <c r="H107" s="17">
        <f>ROUND(VLOOKUP(H$91&amp;"_1",管理者用人口入力シート!BH:CE,J107,FALSE),0)</f>
        <v>930</v>
      </c>
      <c r="I107" s="17">
        <f>ROUND(VLOOKUP(H$91&amp;"_2",管理者用人口入力シート!BH:CE,J107,FALSE),0)</f>
        <v>1109</v>
      </c>
      <c r="J107" s="2">
        <v>18</v>
      </c>
      <c r="K107" s="12"/>
      <c r="N107" s="2" t="s">
        <v>14</v>
      </c>
      <c r="O107" s="17">
        <f>ROUND(VLOOKUP(O$91&amp;"_1",管理者用人口入力シート!CO:DL,Q107,FALSE),0)</f>
        <v>930</v>
      </c>
      <c r="P107" s="17">
        <f>ROUND(VLOOKUP(O$91&amp;"_2",管理者用人口入力シート!CO:DL,Q107,FALSE),0)</f>
        <v>1109</v>
      </c>
      <c r="Q107" s="2">
        <v>18</v>
      </c>
      <c r="T107" s="85"/>
    </row>
    <row r="108" spans="1:20" x14ac:dyDescent="0.15">
      <c r="A108" s="2" t="s">
        <v>19</v>
      </c>
      <c r="B108" s="17">
        <f>ROUND(VLOOKUP(B$87&amp;"_1",管理者用人口入力シート!A:X,D108,FALSE),0)</f>
        <v>38</v>
      </c>
      <c r="C108" s="17">
        <f>ROUND(VLOOKUP(B$87&amp;"_2",管理者用人口入力シート!A:X,D108,FALSE),0)</f>
        <v>175</v>
      </c>
      <c r="D108" s="2">
        <v>23</v>
      </c>
      <c r="G108" s="2" t="s">
        <v>15</v>
      </c>
      <c r="H108" s="17">
        <f>ROUND(VLOOKUP(H$91&amp;"_1",管理者用人口入力シート!BH:CE,J108,FALSE),0)</f>
        <v>962</v>
      </c>
      <c r="I108" s="17">
        <f>ROUND(VLOOKUP(H$91&amp;"_2",管理者用人口入力シート!BH:CE,J108,FALSE),0)</f>
        <v>1241</v>
      </c>
      <c r="J108" s="2">
        <v>19</v>
      </c>
      <c r="K108" s="12"/>
      <c r="N108" s="2" t="s">
        <v>15</v>
      </c>
      <c r="O108" s="17">
        <f>ROUND(VLOOKUP(O$91&amp;"_1",管理者用人口入力シート!CO:DL,Q108,FALSE),0)</f>
        <v>962</v>
      </c>
      <c r="P108" s="17">
        <f>ROUND(VLOOKUP(O$91&amp;"_2",管理者用人口入力シート!CO:DL,Q108,FALSE),0)</f>
        <v>1241</v>
      </c>
      <c r="Q108" s="2">
        <v>19</v>
      </c>
      <c r="T108" s="85"/>
    </row>
    <row r="109" spans="1:20" x14ac:dyDescent="0.15">
      <c r="A109" s="2" t="s">
        <v>20</v>
      </c>
      <c r="B109" s="17">
        <f>ROUND(VLOOKUP(B$87&amp;"_1",管理者用人口入力シート!A:X,D109,FALSE),0)</f>
        <v>1</v>
      </c>
      <c r="C109" s="17">
        <f>ROUND(VLOOKUP(B$87&amp;"_2",管理者用人口入力シート!A:X,D109,FALSE),0)</f>
        <v>38</v>
      </c>
      <c r="D109" s="2">
        <v>24</v>
      </c>
      <c r="G109" s="2" t="s">
        <v>16</v>
      </c>
      <c r="H109" s="17">
        <f>ROUND(VLOOKUP(H$91&amp;"_1",管理者用人口入力シート!BH:CE,J109,FALSE),0)</f>
        <v>879</v>
      </c>
      <c r="I109" s="17">
        <f>ROUND(VLOOKUP(H$91&amp;"_2",管理者用人口入力シート!BH:CE,J109,FALSE),0)</f>
        <v>1188</v>
      </c>
      <c r="J109" s="2">
        <v>20</v>
      </c>
      <c r="K109" s="12"/>
      <c r="N109" s="2" t="s">
        <v>16</v>
      </c>
      <c r="O109" s="17">
        <f>ROUND(VLOOKUP(O$91&amp;"_1",管理者用人口入力シート!CO:DL,Q109,FALSE),0)</f>
        <v>879</v>
      </c>
      <c r="P109" s="17">
        <f>ROUND(VLOOKUP(O$91&amp;"_2",管理者用人口入力シート!CO:DL,Q109,FALSE),0)</f>
        <v>1188</v>
      </c>
      <c r="Q109" s="2">
        <v>20</v>
      </c>
      <c r="T109" s="85"/>
    </row>
    <row r="110" spans="1:20" x14ac:dyDescent="0.15">
      <c r="G110" s="2" t="s">
        <v>17</v>
      </c>
      <c r="H110" s="17">
        <f>ROUND(VLOOKUP(H$91&amp;"_1",管理者用人口入力シート!BH:CE,J110,FALSE),0)</f>
        <v>390</v>
      </c>
      <c r="I110" s="17">
        <f>ROUND(VLOOKUP(H$91&amp;"_2",管理者用人口入力シート!BH:CE,J110,FALSE),0)</f>
        <v>762</v>
      </c>
      <c r="J110" s="2">
        <v>21</v>
      </c>
      <c r="K110" s="12"/>
      <c r="N110" s="2" t="s">
        <v>17</v>
      </c>
      <c r="O110" s="17">
        <f>ROUND(VLOOKUP(O$91&amp;"_1",管理者用人口入力シート!CO:DL,Q110,FALSE),0)</f>
        <v>390</v>
      </c>
      <c r="P110" s="17">
        <f>ROUND(VLOOKUP(O$91&amp;"_2",管理者用人口入力シート!CO:DL,Q110,FALSE),0)</f>
        <v>762</v>
      </c>
      <c r="Q110" s="2">
        <v>21</v>
      </c>
      <c r="T110" s="85"/>
    </row>
    <row r="111" spans="1:20" x14ac:dyDescent="0.15">
      <c r="G111" s="2" t="s">
        <v>18</v>
      </c>
      <c r="H111" s="17">
        <f>ROUND(VLOOKUP(H$91&amp;"_1",管理者用人口入力シート!BH:CE,J111,FALSE),0)</f>
        <v>208</v>
      </c>
      <c r="I111" s="17">
        <f>ROUND(VLOOKUP(H$91&amp;"_2",管理者用人口入力シート!BH:CE,J111,FALSE),0)</f>
        <v>493</v>
      </c>
      <c r="J111" s="2">
        <v>22</v>
      </c>
      <c r="K111" s="12"/>
      <c r="N111" s="2" t="s">
        <v>18</v>
      </c>
      <c r="O111" s="17">
        <f>ROUND(VLOOKUP(O$91&amp;"_1",管理者用人口入力シート!CO:DL,Q111,FALSE),0)</f>
        <v>208</v>
      </c>
      <c r="P111" s="17">
        <f>ROUND(VLOOKUP(O$91&amp;"_2",管理者用人口入力シート!CO:DL,Q111,FALSE),0)</f>
        <v>493</v>
      </c>
      <c r="Q111" s="2">
        <v>22</v>
      </c>
      <c r="T111" s="85"/>
    </row>
    <row r="112" spans="1:20" x14ac:dyDescent="0.15">
      <c r="G112" s="2" t="s">
        <v>19</v>
      </c>
      <c r="H112" s="17">
        <f>ROUND(VLOOKUP(H$91&amp;"_1",管理者用人口入力シート!BH:CE,J112,FALSE),0)</f>
        <v>61</v>
      </c>
      <c r="I112" s="17">
        <f>ROUND(VLOOKUP(H$91&amp;"_2",管理者用人口入力シート!BH:CE,J112,FALSE),0)</f>
        <v>220</v>
      </c>
      <c r="J112" s="2">
        <v>23</v>
      </c>
      <c r="K112" s="12"/>
      <c r="N112" s="2" t="s">
        <v>19</v>
      </c>
      <c r="O112" s="17">
        <f>ROUND(VLOOKUP(O$91&amp;"_1",管理者用人口入力シート!CO:DL,Q112,FALSE),0)</f>
        <v>61</v>
      </c>
      <c r="P112" s="17">
        <f>ROUND(VLOOKUP(O$91&amp;"_2",管理者用人口入力シート!CO:DL,Q112,FALSE),0)</f>
        <v>220</v>
      </c>
      <c r="Q112" s="2">
        <v>23</v>
      </c>
      <c r="T112" s="85"/>
    </row>
    <row r="113" spans="7:20" x14ac:dyDescent="0.15">
      <c r="G113" s="2" t="s">
        <v>20</v>
      </c>
      <c r="H113" s="17">
        <f>ROUND(VLOOKUP(H$91&amp;"_1",管理者用人口入力シート!BH:CE,J113,FALSE),0)</f>
        <v>4</v>
      </c>
      <c r="I113" s="17">
        <f>ROUND(VLOOKUP(H$91&amp;"_2",管理者用人口入力シート!BH:CE,J113,FALSE),0)</f>
        <v>50</v>
      </c>
      <c r="J113" s="2">
        <v>24</v>
      </c>
      <c r="K113" s="12"/>
      <c r="N113" s="2" t="s">
        <v>20</v>
      </c>
      <c r="O113" s="17">
        <f>ROUND(VLOOKUP(O$91&amp;"_1",管理者用人口入力シート!CO:DL,Q113,FALSE),0)</f>
        <v>4</v>
      </c>
      <c r="P113" s="17">
        <f>ROUND(VLOOKUP(O$91&amp;"_2",管理者用人口入力シート!CO:DL,Q113,FALSE),0)</f>
        <v>50</v>
      </c>
      <c r="Q113" s="2">
        <v>24</v>
      </c>
      <c r="T113" s="85"/>
    </row>
    <row r="115" spans="7:20" x14ac:dyDescent="0.15">
      <c r="G115" s="2" t="s">
        <v>394</v>
      </c>
      <c r="H115" s="316">
        <f>管理者入力シート!B10</f>
        <v>2035</v>
      </c>
      <c r="I115" s="317"/>
      <c r="J115" s="2" t="s">
        <v>114</v>
      </c>
      <c r="O115" s="316">
        <f>管理者入力シート!B10</f>
        <v>2035</v>
      </c>
      <c r="P115" s="317"/>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502</v>
      </c>
      <c r="I117" s="17">
        <f>ROUND(VLOOKUP(H$115&amp;"_2",管理者用人口入力シート!BH:CE,J117,FALSE),0)</f>
        <v>479</v>
      </c>
      <c r="J117" s="2">
        <v>4</v>
      </c>
      <c r="N117" s="2" t="s">
        <v>0</v>
      </c>
      <c r="O117" s="17">
        <f>ROUND(VLOOKUP(O$115&amp;"_1",管理者用人口入力シート!CO:DL,Q117,FALSE),0)</f>
        <v>504</v>
      </c>
      <c r="P117" s="17">
        <f>ROUND(VLOOKUP(O$115&amp;"_2",管理者用人口入力シート!CO:DL,Q117,FALSE),0)</f>
        <v>481</v>
      </c>
      <c r="Q117" s="2">
        <v>4</v>
      </c>
      <c r="T117" s="85"/>
    </row>
    <row r="118" spans="7:20" x14ac:dyDescent="0.15">
      <c r="G118" s="2" t="s">
        <v>1</v>
      </c>
      <c r="H118" s="17">
        <f>ROUND(VLOOKUP(H$115&amp;"_1",管理者用人口入力シート!BH:CE,J118,FALSE),0)</f>
        <v>491</v>
      </c>
      <c r="I118" s="17">
        <f>ROUND(VLOOKUP(H$115&amp;"_2",管理者用人口入力シート!BH:CE,J118,FALSE),0)</f>
        <v>488</v>
      </c>
      <c r="J118" s="2">
        <v>5</v>
      </c>
      <c r="N118" s="2" t="s">
        <v>1</v>
      </c>
      <c r="O118" s="17">
        <f>ROUND(VLOOKUP(O$115&amp;"_1",管理者用人口入力シート!CO:DL,Q118,FALSE),0)</f>
        <v>492</v>
      </c>
      <c r="P118" s="17">
        <f>ROUND(VLOOKUP(O$115&amp;"_2",管理者用人口入力シート!CO:DL,Q118,FALSE),0)</f>
        <v>489</v>
      </c>
      <c r="Q118" s="2">
        <v>5</v>
      </c>
      <c r="T118" s="85"/>
    </row>
    <row r="119" spans="7:20" x14ac:dyDescent="0.15">
      <c r="G119" s="2" t="s">
        <v>2</v>
      </c>
      <c r="H119" s="17">
        <f>ROUND(VLOOKUP(H$115&amp;"_1",管理者用人口入力シート!BH:CE,J119,FALSE),0)</f>
        <v>528</v>
      </c>
      <c r="I119" s="17">
        <f>ROUND(VLOOKUP(H$115&amp;"_2",管理者用人口入力シート!BH:CE,J119,FALSE),0)</f>
        <v>523</v>
      </c>
      <c r="J119" s="2">
        <v>6</v>
      </c>
      <c r="N119" s="2" t="s">
        <v>2</v>
      </c>
      <c r="O119" s="17">
        <f>ROUND(VLOOKUP(O$115&amp;"_1",管理者用人口入力シート!CO:DL,Q119,FALSE),0)</f>
        <v>529</v>
      </c>
      <c r="P119" s="17">
        <f>ROUND(VLOOKUP(O$115&amp;"_2",管理者用人口入力シート!CO:DL,Q119,FALSE),0)</f>
        <v>524</v>
      </c>
      <c r="Q119" s="2">
        <v>6</v>
      </c>
      <c r="T119" s="85"/>
    </row>
    <row r="120" spans="7:20" x14ac:dyDescent="0.15">
      <c r="G120" s="2" t="s">
        <v>3</v>
      </c>
      <c r="H120" s="17">
        <f>ROUND(VLOOKUP(H$115&amp;"_1",管理者用人口入力シート!BH:CE,J120,FALSE),0)</f>
        <v>516</v>
      </c>
      <c r="I120" s="17">
        <f>ROUND(VLOOKUP(H$115&amp;"_2",管理者用人口入力シート!BH:CE,J120,FALSE),0)</f>
        <v>534</v>
      </c>
      <c r="J120" s="2">
        <v>7</v>
      </c>
      <c r="N120" s="2" t="s">
        <v>3</v>
      </c>
      <c r="O120" s="17">
        <f>ROUND(VLOOKUP(O$115&amp;"_1",管理者用人口入力シート!CO:DL,Q120,FALSE),0)</f>
        <v>516</v>
      </c>
      <c r="P120" s="17">
        <f>ROUND(VLOOKUP(O$115&amp;"_2",管理者用人口入力シート!CO:DL,Q120,FALSE),0)</f>
        <v>535</v>
      </c>
      <c r="Q120" s="2">
        <v>7</v>
      </c>
      <c r="T120" s="85"/>
    </row>
    <row r="121" spans="7:20" x14ac:dyDescent="0.15">
      <c r="G121" s="2" t="s">
        <v>4</v>
      </c>
      <c r="H121" s="17">
        <f>ROUND(VLOOKUP(H$115&amp;"_1",管理者用人口入力シート!BH:CE,J121,FALSE),0)</f>
        <v>527</v>
      </c>
      <c r="I121" s="17">
        <f>ROUND(VLOOKUP(H$115&amp;"_2",管理者用人口入力シート!BH:CE,J121,FALSE),0)</f>
        <v>422</v>
      </c>
      <c r="J121" s="2">
        <v>8</v>
      </c>
      <c r="N121" s="2" t="s">
        <v>4</v>
      </c>
      <c r="O121" s="17">
        <f>ROUND(VLOOKUP(O$115&amp;"_1",管理者用人口入力シート!CO:DL,Q121,FALSE),0)</f>
        <v>527</v>
      </c>
      <c r="P121" s="17">
        <f>ROUND(VLOOKUP(O$115&amp;"_2",管理者用人口入力シート!CO:DL,Q121,FALSE),0)</f>
        <v>423</v>
      </c>
      <c r="Q121" s="2">
        <v>8</v>
      </c>
      <c r="T121" s="85"/>
    </row>
    <row r="122" spans="7:20" x14ac:dyDescent="0.15">
      <c r="G122" s="2" t="s">
        <v>5</v>
      </c>
      <c r="H122" s="17">
        <f>ROUND(VLOOKUP(H$115&amp;"_1",管理者用人口入力シート!BH:CE,J122,FALSE),0)</f>
        <v>737</v>
      </c>
      <c r="I122" s="17">
        <f>ROUND(VLOOKUP(H$115&amp;"_2",管理者用人口入力シート!BH:CE,J122,FALSE),0)</f>
        <v>552</v>
      </c>
      <c r="J122" s="2">
        <v>9</v>
      </c>
      <c r="N122" s="2" t="s">
        <v>5</v>
      </c>
      <c r="O122" s="17">
        <f>ROUND(VLOOKUP(O$115&amp;"_1",管理者用人口入力シート!CO:DL,Q122,FALSE),0)</f>
        <v>739</v>
      </c>
      <c r="P122" s="17">
        <f>ROUND(VLOOKUP(O$115&amp;"_2",管理者用人口入力シート!CO:DL,Q122,FALSE),0)</f>
        <v>554</v>
      </c>
      <c r="Q122" s="2">
        <v>9</v>
      </c>
      <c r="T122" s="85"/>
    </row>
    <row r="123" spans="7:20" x14ac:dyDescent="0.15">
      <c r="G123" s="2" t="s">
        <v>6</v>
      </c>
      <c r="H123" s="17">
        <f>ROUND(VLOOKUP(H$115&amp;"_1",管理者用人口入力シート!BH:CE,J123,FALSE),0)</f>
        <v>742</v>
      </c>
      <c r="I123" s="17">
        <f>ROUND(VLOOKUP(H$115&amp;"_2",管理者用人口入力シート!BH:CE,J123,FALSE),0)</f>
        <v>539</v>
      </c>
      <c r="J123" s="2">
        <v>10</v>
      </c>
      <c r="N123" s="2" t="s">
        <v>6</v>
      </c>
      <c r="O123" s="17">
        <f>ROUND(VLOOKUP(O$115&amp;"_1",管理者用人口入力シート!CO:DL,Q123,FALSE),0)</f>
        <v>744</v>
      </c>
      <c r="P123" s="17">
        <f>ROUND(VLOOKUP(O$115&amp;"_2",管理者用人口入力シート!CO:DL,Q123,FALSE),0)</f>
        <v>541</v>
      </c>
      <c r="Q123" s="2">
        <v>10</v>
      </c>
      <c r="T123" s="85"/>
    </row>
    <row r="124" spans="7:20" x14ac:dyDescent="0.15">
      <c r="G124" s="2" t="s">
        <v>7</v>
      </c>
      <c r="H124" s="17">
        <f>ROUND(VLOOKUP(H$115&amp;"_1",管理者用人口入力シート!BH:CE,J124,FALSE),0)</f>
        <v>734</v>
      </c>
      <c r="I124" s="17">
        <f>ROUND(VLOOKUP(H$115&amp;"_2",管理者用人口入力シート!BH:CE,J124,FALSE),0)</f>
        <v>560</v>
      </c>
      <c r="J124" s="2">
        <v>11</v>
      </c>
      <c r="N124" s="2" t="s">
        <v>7</v>
      </c>
      <c r="O124" s="17">
        <f>ROUND(VLOOKUP(O$115&amp;"_1",管理者用人口入力シート!CO:DL,Q124,FALSE),0)</f>
        <v>735</v>
      </c>
      <c r="P124" s="17">
        <f>ROUND(VLOOKUP(O$115&amp;"_2",管理者用人口入力シート!CO:DL,Q124,FALSE),0)</f>
        <v>562</v>
      </c>
      <c r="Q124" s="2">
        <v>11</v>
      </c>
      <c r="T124" s="85"/>
    </row>
    <row r="125" spans="7:20" x14ac:dyDescent="0.15">
      <c r="G125" s="2" t="s">
        <v>8</v>
      </c>
      <c r="H125" s="17">
        <f>ROUND(VLOOKUP(H$115&amp;"_1",管理者用人口入力シート!BH:CE,J125,FALSE),0)</f>
        <v>731</v>
      </c>
      <c r="I125" s="17">
        <f>ROUND(VLOOKUP(H$115&amp;"_2",管理者用人口入力シート!BH:CE,J125,FALSE),0)</f>
        <v>539</v>
      </c>
      <c r="J125" s="2">
        <v>12</v>
      </c>
      <c r="N125" s="2" t="s">
        <v>8</v>
      </c>
      <c r="O125" s="17">
        <f>ROUND(VLOOKUP(O$115&amp;"_1",管理者用人口入力シート!CO:DL,Q125,FALSE),0)</f>
        <v>731</v>
      </c>
      <c r="P125" s="17">
        <f>ROUND(VLOOKUP(O$115&amp;"_2",管理者用人口入力シート!CO:DL,Q125,FALSE),0)</f>
        <v>540</v>
      </c>
      <c r="Q125" s="2">
        <v>12</v>
      </c>
      <c r="T125" s="85"/>
    </row>
    <row r="126" spans="7:20" x14ac:dyDescent="0.15">
      <c r="G126" s="2" t="s">
        <v>9</v>
      </c>
      <c r="H126" s="17">
        <f>ROUND(VLOOKUP(H$115&amp;"_1",管理者用人口入力シート!BH:CE,J126,FALSE),0)</f>
        <v>727</v>
      </c>
      <c r="I126" s="17">
        <f>ROUND(VLOOKUP(H$115&amp;"_2",管理者用人口入力シート!BH:CE,J126,FALSE),0)</f>
        <v>711</v>
      </c>
      <c r="J126" s="2">
        <v>13</v>
      </c>
      <c r="N126" s="2" t="s">
        <v>9</v>
      </c>
      <c r="O126" s="17">
        <f>ROUND(VLOOKUP(O$115&amp;"_1",管理者用人口入力シート!CO:DL,Q126,FALSE),0)</f>
        <v>727</v>
      </c>
      <c r="P126" s="17">
        <f>ROUND(VLOOKUP(O$115&amp;"_2",管理者用人口入力シート!CO:DL,Q126,FALSE),0)</f>
        <v>712</v>
      </c>
      <c r="Q126" s="2">
        <v>13</v>
      </c>
      <c r="T126" s="85"/>
    </row>
    <row r="127" spans="7:20" x14ac:dyDescent="0.15">
      <c r="G127" s="2" t="s">
        <v>10</v>
      </c>
      <c r="H127" s="17">
        <f>ROUND(VLOOKUP(H$115&amp;"_1",管理者用人口入力シート!BH:CE,J127,FALSE),0)</f>
        <v>868</v>
      </c>
      <c r="I127" s="17">
        <f>ROUND(VLOOKUP(H$115&amp;"_2",管理者用人口入力シート!BH:CE,J127,FALSE),0)</f>
        <v>842</v>
      </c>
      <c r="J127" s="2">
        <v>14</v>
      </c>
      <c r="N127" s="2" t="s">
        <v>10</v>
      </c>
      <c r="O127" s="17">
        <f>ROUND(VLOOKUP(O$115&amp;"_1",管理者用人口入力シート!CO:DL,Q127,FALSE),0)</f>
        <v>868</v>
      </c>
      <c r="P127" s="17">
        <f>ROUND(VLOOKUP(O$115&amp;"_2",管理者用人口入力シート!CO:DL,Q127,FALSE),0)</f>
        <v>843</v>
      </c>
      <c r="Q127" s="2">
        <v>14</v>
      </c>
      <c r="T127" s="85"/>
    </row>
    <row r="128" spans="7:20" x14ac:dyDescent="0.15">
      <c r="G128" s="2" t="s">
        <v>11</v>
      </c>
      <c r="H128" s="17">
        <f>ROUND(VLOOKUP(H$115&amp;"_1",管理者用人口入力シート!BH:CE,J128,FALSE),0)</f>
        <v>1057</v>
      </c>
      <c r="I128" s="17">
        <f>ROUND(VLOOKUP(H$115&amp;"_2",管理者用人口入力シート!BH:CE,J128,FALSE),0)</f>
        <v>1058</v>
      </c>
      <c r="J128" s="2">
        <v>15</v>
      </c>
      <c r="N128" s="2" t="s">
        <v>11</v>
      </c>
      <c r="O128" s="17">
        <f>ROUND(VLOOKUP(O$115&amp;"_1",管理者用人口入力シート!CO:DL,Q128,FALSE),0)</f>
        <v>1057</v>
      </c>
      <c r="P128" s="17">
        <f>ROUND(VLOOKUP(O$115&amp;"_2",管理者用人口入力シート!CO:DL,Q128,FALSE),0)</f>
        <v>1058</v>
      </c>
      <c r="Q128" s="2">
        <v>15</v>
      </c>
      <c r="T128" s="85"/>
    </row>
    <row r="129" spans="7:20" x14ac:dyDescent="0.15">
      <c r="G129" s="2" t="s">
        <v>12</v>
      </c>
      <c r="H129" s="17">
        <f>ROUND(VLOOKUP(H$115&amp;"_1",管理者用人口入力シート!BH:CE,J129,FALSE),0)</f>
        <v>1136</v>
      </c>
      <c r="I129" s="17">
        <f>ROUND(VLOOKUP(H$115&amp;"_2",管理者用人口入力シート!BH:CE,J129,FALSE),0)</f>
        <v>1122</v>
      </c>
      <c r="J129" s="2">
        <v>16</v>
      </c>
      <c r="N129" s="2" t="s">
        <v>12</v>
      </c>
      <c r="O129" s="17">
        <f>ROUND(VLOOKUP(O$115&amp;"_1",管理者用人口入力シート!CO:DL,Q129,FALSE),0)</f>
        <v>1136</v>
      </c>
      <c r="P129" s="17">
        <f>ROUND(VLOOKUP(O$115&amp;"_2",管理者用人口入力シート!CO:DL,Q129,FALSE),0)</f>
        <v>1122</v>
      </c>
      <c r="Q129" s="2">
        <v>16</v>
      </c>
      <c r="T129" s="85"/>
    </row>
    <row r="130" spans="7:20" x14ac:dyDescent="0.15">
      <c r="G130" s="2" t="s">
        <v>13</v>
      </c>
      <c r="H130" s="17">
        <f>ROUND(VLOOKUP(H$115&amp;"_1",管理者用人口入力シート!BH:CE,J130,FALSE),0)</f>
        <v>917</v>
      </c>
      <c r="I130" s="17">
        <f>ROUND(VLOOKUP(H$115&amp;"_2",管理者用人口入力シート!BH:CE,J130,FALSE),0)</f>
        <v>980</v>
      </c>
      <c r="J130" s="2">
        <v>17</v>
      </c>
      <c r="N130" s="2" t="s">
        <v>13</v>
      </c>
      <c r="O130" s="17">
        <f>ROUND(VLOOKUP(O$115&amp;"_1",管理者用人口入力シート!CO:DL,Q130,FALSE),0)</f>
        <v>917</v>
      </c>
      <c r="P130" s="17">
        <f>ROUND(VLOOKUP(O$115&amp;"_2",管理者用人口入力シート!CO:DL,Q130,FALSE),0)</f>
        <v>980</v>
      </c>
      <c r="Q130" s="2">
        <v>17</v>
      </c>
      <c r="T130" s="85"/>
    </row>
    <row r="131" spans="7:20" x14ac:dyDescent="0.15">
      <c r="G131" s="2" t="s">
        <v>14</v>
      </c>
      <c r="H131" s="17">
        <f>ROUND(VLOOKUP(H$115&amp;"_1",管理者用人口入力シート!BH:CE,J131,FALSE),0)</f>
        <v>870</v>
      </c>
      <c r="I131" s="17">
        <f>ROUND(VLOOKUP(H$115&amp;"_2",管理者用人口入力シート!BH:CE,J131,FALSE),0)</f>
        <v>1063</v>
      </c>
      <c r="J131" s="2">
        <v>18</v>
      </c>
      <c r="N131" s="2" t="s">
        <v>14</v>
      </c>
      <c r="O131" s="17">
        <f>ROUND(VLOOKUP(O$115&amp;"_1",管理者用人口入力シート!CO:DL,Q131,FALSE),0)</f>
        <v>870</v>
      </c>
      <c r="P131" s="17">
        <f>ROUND(VLOOKUP(O$115&amp;"_2",管理者用人口入力シート!CO:DL,Q131,FALSE),0)</f>
        <v>1063</v>
      </c>
      <c r="Q131" s="2">
        <v>18</v>
      </c>
      <c r="T131" s="85"/>
    </row>
    <row r="132" spans="7:20" x14ac:dyDescent="0.15">
      <c r="G132" s="2" t="s">
        <v>15</v>
      </c>
      <c r="H132" s="17">
        <f>ROUND(VLOOKUP(H$115&amp;"_1",管理者用人口入力シート!BH:CE,J132,FALSE),0)</f>
        <v>811</v>
      </c>
      <c r="I132" s="17">
        <f>ROUND(VLOOKUP(H$115&amp;"_2",管理者用人口入力シート!BH:CE,J132,FALSE),0)</f>
        <v>1038</v>
      </c>
      <c r="J132" s="2">
        <v>19</v>
      </c>
      <c r="N132" s="2" t="s">
        <v>15</v>
      </c>
      <c r="O132" s="17">
        <f>ROUND(VLOOKUP(O$115&amp;"_1",管理者用人口入力シート!CO:DL,Q132,FALSE),0)</f>
        <v>811</v>
      </c>
      <c r="P132" s="17">
        <f>ROUND(VLOOKUP(O$115&amp;"_2",管理者用人口入力シート!CO:DL,Q132,FALSE),0)</f>
        <v>1038</v>
      </c>
      <c r="Q132" s="2">
        <v>19</v>
      </c>
      <c r="T132" s="85"/>
    </row>
    <row r="133" spans="7:20" x14ac:dyDescent="0.15">
      <c r="G133" s="2" t="s">
        <v>16</v>
      </c>
      <c r="H133" s="17">
        <f>ROUND(VLOOKUP(H$115&amp;"_1",管理者用人口入力シート!BH:CE,J133,FALSE),0)</f>
        <v>758</v>
      </c>
      <c r="I133" s="17">
        <f>ROUND(VLOOKUP(H$115&amp;"_2",管理者用人口入力シート!BH:CE,J133,FALSE),0)</f>
        <v>1095</v>
      </c>
      <c r="J133" s="2">
        <v>20</v>
      </c>
      <c r="N133" s="2" t="s">
        <v>16</v>
      </c>
      <c r="O133" s="17">
        <f>ROUND(VLOOKUP(O$115&amp;"_1",管理者用人口入力シート!CO:DL,Q133,FALSE),0)</f>
        <v>758</v>
      </c>
      <c r="P133" s="17">
        <f>ROUND(VLOOKUP(O$115&amp;"_2",管理者用人口入力シート!CO:DL,Q133,FALSE),0)</f>
        <v>1095</v>
      </c>
      <c r="Q133" s="2">
        <v>20</v>
      </c>
      <c r="T133" s="85"/>
    </row>
    <row r="134" spans="7:20" x14ac:dyDescent="0.15">
      <c r="G134" s="2" t="s">
        <v>17</v>
      </c>
      <c r="H134" s="17">
        <f>ROUND(VLOOKUP(H$115&amp;"_1",管理者用人口入力シート!BH:CE,J134,FALSE),0)</f>
        <v>555</v>
      </c>
      <c r="I134" s="17">
        <f>ROUND(VLOOKUP(H$115&amp;"_2",管理者用人口入力シート!BH:CE,J134,FALSE),0)</f>
        <v>925</v>
      </c>
      <c r="J134" s="2">
        <v>21</v>
      </c>
      <c r="N134" s="2" t="s">
        <v>17</v>
      </c>
      <c r="O134" s="17">
        <f>ROUND(VLOOKUP(O$115&amp;"_1",管理者用人口入力シート!CO:DL,Q134,FALSE),0)</f>
        <v>555</v>
      </c>
      <c r="P134" s="17">
        <f>ROUND(VLOOKUP(O$115&amp;"_2",管理者用人口入力シート!CO:DL,Q134,FALSE),0)</f>
        <v>925</v>
      </c>
      <c r="Q134" s="2">
        <v>21</v>
      </c>
      <c r="T134" s="85"/>
    </row>
    <row r="135" spans="7:20" x14ac:dyDescent="0.15">
      <c r="G135" s="2" t="s">
        <v>18</v>
      </c>
      <c r="H135" s="17">
        <f>ROUND(VLOOKUP(H$115&amp;"_1",管理者用人口入力シート!BH:CE,J135,FALSE),0)</f>
        <v>190</v>
      </c>
      <c r="I135" s="17">
        <f>ROUND(VLOOKUP(H$115&amp;"_2",管理者用人口入力シート!BH:CE,J135,FALSE),0)</f>
        <v>479</v>
      </c>
      <c r="J135" s="2">
        <v>22</v>
      </c>
      <c r="N135" s="2" t="s">
        <v>18</v>
      </c>
      <c r="O135" s="17">
        <f>ROUND(VLOOKUP(O$115&amp;"_1",管理者用人口入力シート!CO:DL,Q135,FALSE),0)</f>
        <v>190</v>
      </c>
      <c r="P135" s="17">
        <f>ROUND(VLOOKUP(O$115&amp;"_2",管理者用人口入力シート!CO:DL,Q135,FALSE),0)</f>
        <v>479</v>
      </c>
      <c r="Q135" s="2">
        <v>22</v>
      </c>
      <c r="T135" s="85"/>
    </row>
    <row r="136" spans="7:20" x14ac:dyDescent="0.15">
      <c r="G136" s="2" t="s">
        <v>19</v>
      </c>
      <c r="H136" s="17">
        <f>ROUND(VLOOKUP(H$115&amp;"_1",管理者用人口入力シート!BH:CE,J136,FALSE),0)</f>
        <v>57</v>
      </c>
      <c r="I136" s="17">
        <f>ROUND(VLOOKUP(H$115&amp;"_2",管理者用人口入力シート!BH:CE,J136,FALSE),0)</f>
        <v>196</v>
      </c>
      <c r="J136" s="2">
        <v>23</v>
      </c>
      <c r="N136" s="2" t="s">
        <v>19</v>
      </c>
      <c r="O136" s="17">
        <f>ROUND(VLOOKUP(O$115&amp;"_1",管理者用人口入力シート!CO:DL,Q136,FALSE),0)</f>
        <v>57</v>
      </c>
      <c r="P136" s="17">
        <f>ROUND(VLOOKUP(O$115&amp;"_2",管理者用人口入力シート!CO:DL,Q136,FALSE),0)</f>
        <v>196</v>
      </c>
      <c r="Q136" s="2">
        <v>23</v>
      </c>
      <c r="T136" s="85"/>
    </row>
    <row r="137" spans="7:20" x14ac:dyDescent="0.15">
      <c r="G137" s="2" t="s">
        <v>20</v>
      </c>
      <c r="H137" s="17">
        <f>ROUND(VLOOKUP(H$115&amp;"_1",管理者用人口入力シート!BH:CE,J137,FALSE),0)</f>
        <v>5</v>
      </c>
      <c r="I137" s="17">
        <f>ROUND(VLOOKUP(H$115&amp;"_2",管理者用人口入力シート!BH:CE,J137,FALSE),0)</f>
        <v>53</v>
      </c>
      <c r="J137" s="2">
        <v>24</v>
      </c>
      <c r="N137" s="2" t="s">
        <v>20</v>
      </c>
      <c r="O137" s="17">
        <f>ROUND(VLOOKUP(O$115&amp;"_1",管理者用人口入力シート!CO:DL,Q137,FALSE),0)</f>
        <v>5</v>
      </c>
      <c r="P137" s="17">
        <f>ROUND(VLOOKUP(O$115&amp;"_2",管理者用人口入力シート!CO:DL,Q137,FALSE),0)</f>
        <v>53</v>
      </c>
      <c r="Q137" s="2">
        <v>24</v>
      </c>
      <c r="T137" s="85"/>
    </row>
    <row r="139" spans="7:20" x14ac:dyDescent="0.15">
      <c r="G139" s="2" t="s">
        <v>109</v>
      </c>
      <c r="H139" s="316">
        <f>管理者入力シート!B11</f>
        <v>2040</v>
      </c>
      <c r="I139" s="317"/>
      <c r="J139" s="2" t="s">
        <v>114</v>
      </c>
      <c r="O139" s="316">
        <f>管理者入力シート!B11</f>
        <v>2040</v>
      </c>
      <c r="P139" s="317"/>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453</v>
      </c>
      <c r="I141" s="17">
        <f>ROUND(VLOOKUP(H$139&amp;"_2",管理者用人口入力シート!BH:CE,J141,FALSE),0)</f>
        <v>432</v>
      </c>
      <c r="J141" s="2">
        <v>4</v>
      </c>
      <c r="N141" s="2" t="s">
        <v>0</v>
      </c>
      <c r="O141" s="17">
        <f>ROUND(VLOOKUP(O$139&amp;"_1",管理者用人口入力シート!CO:DL,Q141,FALSE),0)</f>
        <v>455</v>
      </c>
      <c r="P141" s="17">
        <f>ROUND(VLOOKUP(O$139&amp;"_2",管理者用人口入力シート!CO:DL,Q141,FALSE),0)</f>
        <v>435</v>
      </c>
      <c r="Q141" s="2">
        <v>4</v>
      </c>
    </row>
    <row r="142" spans="7:20" x14ac:dyDescent="0.15">
      <c r="G142" s="2" t="s">
        <v>1</v>
      </c>
      <c r="H142" s="17">
        <f>ROUND(VLOOKUP(H$139&amp;"_1",管理者用人口入力シート!BH:CE,J142,FALSE),0)</f>
        <v>455</v>
      </c>
      <c r="I142" s="17">
        <f>ROUND(VLOOKUP(H$139&amp;"_2",管理者用人口入力シート!BH:CE,J142,FALSE),0)</f>
        <v>452</v>
      </c>
      <c r="J142" s="2">
        <v>5</v>
      </c>
      <c r="N142" s="2" t="s">
        <v>1</v>
      </c>
      <c r="O142" s="17">
        <f>ROUND(VLOOKUP(O$139&amp;"_1",管理者用人口入力シート!CO:DL,Q142,FALSE),0)</f>
        <v>457</v>
      </c>
      <c r="P142" s="17">
        <f>ROUND(VLOOKUP(O$139&amp;"_2",管理者用人口入力シート!CO:DL,Q142,FALSE),0)</f>
        <v>454</v>
      </c>
      <c r="Q142" s="2">
        <v>5</v>
      </c>
    </row>
    <row r="143" spans="7:20" x14ac:dyDescent="0.15">
      <c r="G143" s="2" t="s">
        <v>2</v>
      </c>
      <c r="H143" s="17">
        <f>ROUND(VLOOKUP(H$139&amp;"_1",管理者用人口入力シート!BH:CE,J143,FALSE),0)</f>
        <v>464</v>
      </c>
      <c r="I143" s="17">
        <f>ROUND(VLOOKUP(H$139&amp;"_2",管理者用人口入力シート!BH:CE,J143,FALSE),0)</f>
        <v>460</v>
      </c>
      <c r="J143" s="2">
        <v>6</v>
      </c>
      <c r="N143" s="2" t="s">
        <v>2</v>
      </c>
      <c r="O143" s="17">
        <f>ROUND(VLOOKUP(O$139&amp;"_1",管理者用人口入力シート!CO:DL,Q143,FALSE),0)</f>
        <v>467</v>
      </c>
      <c r="P143" s="17">
        <f>ROUND(VLOOKUP(O$139&amp;"_2",管理者用人口入力シート!CO:DL,Q143,FALSE),0)</f>
        <v>463</v>
      </c>
      <c r="Q143" s="2">
        <v>6</v>
      </c>
    </row>
    <row r="144" spans="7:20" x14ac:dyDescent="0.15">
      <c r="G144" s="2" t="s">
        <v>3</v>
      </c>
      <c r="H144" s="17">
        <f>ROUND(VLOOKUP(H$139&amp;"_1",管理者用人口入力シート!BH:CE,J144,FALSE),0)</f>
        <v>439</v>
      </c>
      <c r="I144" s="17">
        <f>ROUND(VLOOKUP(H$139&amp;"_2",管理者用人口入力シート!BH:CE,J144,FALSE),0)</f>
        <v>455</v>
      </c>
      <c r="J144" s="2">
        <v>7</v>
      </c>
      <c r="N144" s="2" t="s">
        <v>3</v>
      </c>
      <c r="O144" s="17">
        <f>ROUND(VLOOKUP(O$139&amp;"_1",管理者用人口入力シート!CO:DL,Q144,FALSE),0)</f>
        <v>440</v>
      </c>
      <c r="P144" s="17">
        <f>ROUND(VLOOKUP(O$139&amp;"_2",管理者用人口入力シート!CO:DL,Q144,FALSE),0)</f>
        <v>456</v>
      </c>
      <c r="Q144" s="2">
        <v>7</v>
      </c>
    </row>
    <row r="145" spans="7:17" x14ac:dyDescent="0.15">
      <c r="G145" s="2" t="s">
        <v>4</v>
      </c>
      <c r="H145" s="17">
        <f>ROUND(VLOOKUP(H$139&amp;"_1",管理者用人口入力シート!BH:CE,J145,FALSE),0)</f>
        <v>420</v>
      </c>
      <c r="I145" s="17">
        <f>ROUND(VLOOKUP(H$139&amp;"_2",管理者用人口入力シート!BH:CE,J145,FALSE),0)</f>
        <v>381</v>
      </c>
      <c r="J145" s="2">
        <v>8</v>
      </c>
      <c r="N145" s="2" t="s">
        <v>4</v>
      </c>
      <c r="O145" s="17">
        <f>ROUND(VLOOKUP(O$139&amp;"_1",管理者用人口入力シート!CO:DL,Q145,FALSE),0)</f>
        <v>421</v>
      </c>
      <c r="P145" s="17">
        <f>ROUND(VLOOKUP(O$139&amp;"_2",管理者用人口入力シート!CO:DL,Q145,FALSE),0)</f>
        <v>382</v>
      </c>
      <c r="Q145" s="2">
        <v>8</v>
      </c>
    </row>
    <row r="146" spans="7:17" x14ac:dyDescent="0.15">
      <c r="G146" s="2" t="s">
        <v>5</v>
      </c>
      <c r="H146" s="17">
        <f>ROUND(VLOOKUP(H$139&amp;"_1",管理者用人口入力シート!BH:CE,J146,FALSE),0)</f>
        <v>670</v>
      </c>
      <c r="I146" s="17">
        <f>ROUND(VLOOKUP(H$139&amp;"_2",管理者用人口入力シート!BH:CE,J146,FALSE),0)</f>
        <v>471</v>
      </c>
      <c r="J146" s="2">
        <v>9</v>
      </c>
      <c r="N146" s="2" t="s">
        <v>5</v>
      </c>
      <c r="O146" s="17">
        <f>ROUND(VLOOKUP(O$139&amp;"_1",管理者用人口入力シート!CO:DL,Q146,FALSE),0)</f>
        <v>673</v>
      </c>
      <c r="P146" s="17">
        <f>ROUND(VLOOKUP(O$139&amp;"_2",管理者用人口入力シート!CO:DL,Q146,FALSE),0)</f>
        <v>473</v>
      </c>
      <c r="Q146" s="2">
        <v>9</v>
      </c>
    </row>
    <row r="147" spans="7:17" x14ac:dyDescent="0.15">
      <c r="G147" s="2" t="s">
        <v>6</v>
      </c>
      <c r="H147" s="17">
        <f>ROUND(VLOOKUP(H$139&amp;"_1",管理者用人口入力シート!BH:CE,J147,FALSE),0)</f>
        <v>688</v>
      </c>
      <c r="I147" s="17">
        <f>ROUND(VLOOKUP(H$139&amp;"_2",管理者用人口入力シート!BH:CE,J147,FALSE),0)</f>
        <v>518</v>
      </c>
      <c r="J147" s="2">
        <v>10</v>
      </c>
      <c r="N147" s="2" t="s">
        <v>6</v>
      </c>
      <c r="O147" s="17">
        <f>ROUND(VLOOKUP(O$139&amp;"_1",管理者用人口入力シート!CO:DL,Q147,FALSE),0)</f>
        <v>690</v>
      </c>
      <c r="P147" s="17">
        <f>ROUND(VLOOKUP(O$139&amp;"_2",管理者用人口入力シート!CO:DL,Q147,FALSE),0)</f>
        <v>520</v>
      </c>
      <c r="Q147" s="2">
        <v>10</v>
      </c>
    </row>
    <row r="148" spans="7:17" x14ac:dyDescent="0.15">
      <c r="G148" s="2" t="s">
        <v>7</v>
      </c>
      <c r="H148" s="17">
        <f>ROUND(VLOOKUP(H$139&amp;"_1",管理者用人口入力シート!BH:CE,J148,FALSE),0)</f>
        <v>681</v>
      </c>
      <c r="I148" s="17">
        <f>ROUND(VLOOKUP(H$139&amp;"_2",管理者用人口入力シート!BH:CE,J148,FALSE),0)</f>
        <v>502</v>
      </c>
      <c r="J148" s="2">
        <v>11</v>
      </c>
      <c r="N148" s="2" t="s">
        <v>7</v>
      </c>
      <c r="O148" s="17">
        <f>ROUND(VLOOKUP(O$139&amp;"_1",管理者用人口入力シート!CO:DL,Q148,FALSE),0)</f>
        <v>683</v>
      </c>
      <c r="P148" s="17">
        <f>ROUND(VLOOKUP(O$139&amp;"_2",管理者用人口入力シート!CO:DL,Q148,FALSE),0)</f>
        <v>503</v>
      </c>
      <c r="Q148" s="2">
        <v>11</v>
      </c>
    </row>
    <row r="149" spans="7:17" x14ac:dyDescent="0.15">
      <c r="G149" s="2" t="s">
        <v>8</v>
      </c>
      <c r="H149" s="17">
        <f>ROUND(VLOOKUP(H$139&amp;"_1",管理者用人口入力シート!BH:CE,J149,FALSE),0)</f>
        <v>698</v>
      </c>
      <c r="I149" s="17">
        <f>ROUND(VLOOKUP(H$139&amp;"_2",管理者用人口入力シート!BH:CE,J149,FALSE),0)</f>
        <v>536</v>
      </c>
      <c r="J149" s="2">
        <v>12</v>
      </c>
      <c r="N149" s="2" t="s">
        <v>8</v>
      </c>
      <c r="O149" s="17">
        <f>ROUND(VLOOKUP(O$139&amp;"_1",管理者用人口入力シート!CO:DL,Q149,FALSE),0)</f>
        <v>700</v>
      </c>
      <c r="P149" s="17">
        <f>ROUND(VLOOKUP(O$139&amp;"_2",管理者用人口入力シート!CO:DL,Q149,FALSE),0)</f>
        <v>539</v>
      </c>
      <c r="Q149" s="2">
        <v>12</v>
      </c>
    </row>
    <row r="150" spans="7:17" x14ac:dyDescent="0.15">
      <c r="G150" s="2" t="s">
        <v>9</v>
      </c>
      <c r="H150" s="17">
        <f>ROUND(VLOOKUP(H$139&amp;"_1",管理者用人口入力シート!BH:CE,J150,FALSE),0)</f>
        <v>732</v>
      </c>
      <c r="I150" s="17">
        <f>ROUND(VLOOKUP(H$139&amp;"_2",管理者用人口入力シート!BH:CE,J150,FALSE),0)</f>
        <v>516</v>
      </c>
      <c r="J150" s="2">
        <v>13</v>
      </c>
      <c r="N150" s="2" t="s">
        <v>9</v>
      </c>
      <c r="O150" s="17">
        <f>ROUND(VLOOKUP(O$139&amp;"_1",管理者用人口入力シート!CO:DL,Q150,FALSE),0)</f>
        <v>732</v>
      </c>
      <c r="P150" s="17">
        <f>ROUND(VLOOKUP(O$139&amp;"_2",管理者用人口入力シート!CO:DL,Q150,FALSE),0)</f>
        <v>517</v>
      </c>
      <c r="Q150" s="2">
        <v>13</v>
      </c>
    </row>
    <row r="151" spans="7:17" x14ac:dyDescent="0.15">
      <c r="G151" s="2" t="s">
        <v>10</v>
      </c>
      <c r="H151" s="17">
        <f>ROUND(VLOOKUP(H$139&amp;"_1",管理者用人口入力シート!BH:CE,J151,FALSE),0)</f>
        <v>701</v>
      </c>
      <c r="I151" s="17">
        <f>ROUND(VLOOKUP(H$139&amp;"_2",管理者用人口入力シート!BH:CE,J151,FALSE),0)</f>
        <v>703</v>
      </c>
      <c r="J151" s="2">
        <v>14</v>
      </c>
      <c r="N151" s="2" t="s">
        <v>10</v>
      </c>
      <c r="O151" s="17">
        <f>ROUND(VLOOKUP(O$139&amp;"_1",管理者用人口入力シート!CO:DL,Q151,FALSE),0)</f>
        <v>701</v>
      </c>
      <c r="P151" s="17">
        <f>ROUND(VLOOKUP(O$139&amp;"_2",管理者用人口入力シート!CO:DL,Q151,FALSE),0)</f>
        <v>704</v>
      </c>
      <c r="Q151" s="2">
        <v>14</v>
      </c>
    </row>
    <row r="152" spans="7:17" x14ac:dyDescent="0.15">
      <c r="G152" s="2" t="s">
        <v>11</v>
      </c>
      <c r="H152" s="17">
        <f>ROUND(VLOOKUP(H$139&amp;"_1",管理者用人口入力シート!BH:CE,J152,FALSE),0)</f>
        <v>875</v>
      </c>
      <c r="I152" s="17">
        <f>ROUND(VLOOKUP(H$139&amp;"_2",管理者用人口入力シート!BH:CE,J152,FALSE),0)</f>
        <v>831</v>
      </c>
      <c r="J152" s="2">
        <v>15</v>
      </c>
      <c r="N152" s="2" t="s">
        <v>11</v>
      </c>
      <c r="O152" s="17">
        <f>ROUND(VLOOKUP(O$139&amp;"_1",管理者用人口入力シート!CO:DL,Q152,FALSE),0)</f>
        <v>875</v>
      </c>
      <c r="P152" s="17">
        <f>ROUND(VLOOKUP(O$139&amp;"_2",管理者用人口入力シート!CO:DL,Q152,FALSE),0)</f>
        <v>832</v>
      </c>
      <c r="Q152" s="2">
        <v>15</v>
      </c>
    </row>
    <row r="153" spans="7:17" x14ac:dyDescent="0.15">
      <c r="G153" s="2" t="s">
        <v>12</v>
      </c>
      <c r="H153" s="17">
        <f>ROUND(VLOOKUP(H$139&amp;"_1",管理者用人口入力シート!BH:CE,J153,FALSE),0)</f>
        <v>997</v>
      </c>
      <c r="I153" s="17">
        <f>ROUND(VLOOKUP(H$139&amp;"_2",管理者用人口入力シート!BH:CE,J153,FALSE),0)</f>
        <v>1027</v>
      </c>
      <c r="J153" s="2">
        <v>16</v>
      </c>
      <c r="N153" s="2" t="s">
        <v>12</v>
      </c>
      <c r="O153" s="17">
        <f>ROUND(VLOOKUP(O$139&amp;"_1",管理者用人口入力シート!CO:DL,Q153,FALSE),0)</f>
        <v>997</v>
      </c>
      <c r="P153" s="17">
        <f>ROUND(VLOOKUP(O$139&amp;"_2",管理者用人口入力シート!CO:DL,Q153,FALSE),0)</f>
        <v>1027</v>
      </c>
      <c r="Q153" s="2">
        <v>16</v>
      </c>
    </row>
    <row r="154" spans="7:17" x14ac:dyDescent="0.15">
      <c r="G154" s="2" t="s">
        <v>13</v>
      </c>
      <c r="H154" s="17">
        <f>ROUND(VLOOKUP(H$139&amp;"_1",管理者用人口入力シート!BH:CE,J154,FALSE),0)</f>
        <v>1076</v>
      </c>
      <c r="I154" s="17">
        <f>ROUND(VLOOKUP(H$139&amp;"_2",管理者用人口入力シート!BH:CE,J154,FALSE),0)</f>
        <v>1064</v>
      </c>
      <c r="J154" s="2">
        <v>17</v>
      </c>
      <c r="N154" s="2" t="s">
        <v>13</v>
      </c>
      <c r="O154" s="17">
        <f>ROUND(VLOOKUP(O$139&amp;"_1",管理者用人口入力シート!CO:DL,Q154,FALSE),0)</f>
        <v>1076</v>
      </c>
      <c r="P154" s="17">
        <f>ROUND(VLOOKUP(O$139&amp;"_2",管理者用人口入力シート!CO:DL,Q154,FALSE),0)</f>
        <v>1064</v>
      </c>
      <c r="Q154" s="2">
        <v>17</v>
      </c>
    </row>
    <row r="155" spans="7:17" x14ac:dyDescent="0.15">
      <c r="G155" s="2" t="s">
        <v>14</v>
      </c>
      <c r="H155" s="17">
        <f>ROUND(VLOOKUP(H$139&amp;"_1",管理者用人口入力シート!BH:CE,J155,FALSE),0)</f>
        <v>823</v>
      </c>
      <c r="I155" s="17">
        <f>ROUND(VLOOKUP(H$139&amp;"_2",管理者用人口入力シート!BH:CE,J155,FALSE),0)</f>
        <v>935</v>
      </c>
      <c r="J155" s="2">
        <v>18</v>
      </c>
      <c r="N155" s="2" t="s">
        <v>14</v>
      </c>
      <c r="O155" s="17">
        <f>ROUND(VLOOKUP(O$139&amp;"_1",管理者用人口入力シート!CO:DL,Q155,FALSE),0)</f>
        <v>823</v>
      </c>
      <c r="P155" s="17">
        <f>ROUND(VLOOKUP(O$139&amp;"_2",管理者用人口入力シート!CO:DL,Q155,FALSE),0)</f>
        <v>935</v>
      </c>
      <c r="Q155" s="2">
        <v>18</v>
      </c>
    </row>
    <row r="156" spans="7:17" x14ac:dyDescent="0.15">
      <c r="G156" s="2" t="s">
        <v>15</v>
      </c>
      <c r="H156" s="17">
        <f>ROUND(VLOOKUP(H$139&amp;"_1",管理者用人口入力シート!BH:CE,J156,FALSE),0)</f>
        <v>758</v>
      </c>
      <c r="I156" s="17">
        <f>ROUND(VLOOKUP(H$139&amp;"_2",管理者用人口入力シート!BH:CE,J156,FALSE),0)</f>
        <v>996</v>
      </c>
      <c r="J156" s="2">
        <v>19</v>
      </c>
      <c r="N156" s="2" t="s">
        <v>15</v>
      </c>
      <c r="O156" s="17">
        <f>ROUND(VLOOKUP(O$139&amp;"_1",管理者用人口入力シート!CO:DL,Q156,FALSE),0)</f>
        <v>758</v>
      </c>
      <c r="P156" s="17">
        <f>ROUND(VLOOKUP(O$139&amp;"_2",管理者用人口入力シート!CO:DL,Q156,FALSE),0)</f>
        <v>996</v>
      </c>
      <c r="Q156" s="2">
        <v>19</v>
      </c>
    </row>
    <row r="157" spans="7:17" x14ac:dyDescent="0.15">
      <c r="G157" s="2" t="s">
        <v>16</v>
      </c>
      <c r="H157" s="17">
        <f>ROUND(VLOOKUP(H$139&amp;"_1",管理者用人口入力シート!BH:CE,J157,FALSE),0)</f>
        <v>639</v>
      </c>
      <c r="I157" s="17">
        <f>ROUND(VLOOKUP(H$139&amp;"_2",管理者用人口入力シート!BH:CE,J157,FALSE),0)</f>
        <v>916</v>
      </c>
      <c r="J157" s="2">
        <v>20</v>
      </c>
      <c r="N157" s="2" t="s">
        <v>16</v>
      </c>
      <c r="O157" s="17">
        <f>ROUND(VLOOKUP(O$139&amp;"_1",管理者用人口入力シート!CO:DL,Q157,FALSE),0)</f>
        <v>639</v>
      </c>
      <c r="P157" s="17">
        <f>ROUND(VLOOKUP(O$139&amp;"_2",管理者用人口入力シート!CO:DL,Q157,FALSE),0)</f>
        <v>916</v>
      </c>
      <c r="Q157" s="2">
        <v>20</v>
      </c>
    </row>
    <row r="158" spans="7:17" x14ac:dyDescent="0.15">
      <c r="G158" s="2" t="s">
        <v>17</v>
      </c>
      <c r="H158" s="17">
        <f>ROUND(VLOOKUP(H$139&amp;"_1",管理者用人口入力シート!BH:CE,J158,FALSE),0)</f>
        <v>479</v>
      </c>
      <c r="I158" s="17">
        <f>ROUND(VLOOKUP(H$139&amp;"_2",管理者用人口入力シート!BH:CE,J158,FALSE),0)</f>
        <v>852</v>
      </c>
      <c r="J158" s="2">
        <v>21</v>
      </c>
      <c r="N158" s="2" t="s">
        <v>17</v>
      </c>
      <c r="O158" s="17">
        <f>ROUND(VLOOKUP(O$139&amp;"_1",管理者用人口入力シート!CO:DL,Q158,FALSE),0)</f>
        <v>479</v>
      </c>
      <c r="P158" s="17">
        <f>ROUND(VLOOKUP(O$139&amp;"_2",管理者用人口入力シート!CO:DL,Q158,FALSE),0)</f>
        <v>852</v>
      </c>
      <c r="Q158" s="2">
        <v>21</v>
      </c>
    </row>
    <row r="159" spans="7:17" x14ac:dyDescent="0.15">
      <c r="G159" s="2" t="s">
        <v>18</v>
      </c>
      <c r="H159" s="17">
        <f>ROUND(VLOOKUP(H$139&amp;"_1",管理者用人口入力シート!BH:CE,J159,FALSE),0)</f>
        <v>270</v>
      </c>
      <c r="I159" s="17">
        <f>ROUND(VLOOKUP(H$139&amp;"_2",管理者用人口入力シート!BH:CE,J159,FALSE),0)</f>
        <v>581</v>
      </c>
      <c r="J159" s="2">
        <v>22</v>
      </c>
      <c r="N159" s="2" t="s">
        <v>18</v>
      </c>
      <c r="O159" s="17">
        <f>ROUND(VLOOKUP(O$139&amp;"_1",管理者用人口入力シート!CO:DL,Q159,FALSE),0)</f>
        <v>270</v>
      </c>
      <c r="P159" s="17">
        <f>ROUND(VLOOKUP(O$139&amp;"_2",管理者用人口入力シート!CO:DL,Q159,FALSE),0)</f>
        <v>581</v>
      </c>
      <c r="Q159" s="2">
        <v>22</v>
      </c>
    </row>
    <row r="160" spans="7:17" x14ac:dyDescent="0.15">
      <c r="G160" s="2" t="s">
        <v>19</v>
      </c>
      <c r="H160" s="17">
        <f>ROUND(VLOOKUP(H$139&amp;"_1",管理者用人口入力シート!BH:CE,J160,FALSE),0)</f>
        <v>52</v>
      </c>
      <c r="I160" s="17">
        <f>ROUND(VLOOKUP(H$139&amp;"_2",管理者用人口入力シート!BH:CE,J160,FALSE),0)</f>
        <v>190</v>
      </c>
      <c r="J160" s="2">
        <v>23</v>
      </c>
      <c r="N160" s="2" t="s">
        <v>19</v>
      </c>
      <c r="O160" s="17">
        <f>ROUND(VLOOKUP(O$139&amp;"_1",管理者用人口入力シート!CO:DL,Q160,FALSE),0)</f>
        <v>52</v>
      </c>
      <c r="P160" s="17">
        <f>ROUND(VLOOKUP(O$139&amp;"_2",管理者用人口入力シート!CO:DL,Q160,FALSE),0)</f>
        <v>190</v>
      </c>
      <c r="Q160" s="2">
        <v>23</v>
      </c>
    </row>
    <row r="161" spans="7:17" x14ac:dyDescent="0.15">
      <c r="G161" s="2" t="s">
        <v>20</v>
      </c>
      <c r="H161" s="17">
        <f>ROUND(VLOOKUP(H$139&amp;"_1",管理者用人口入力シート!BH:CE,J161,FALSE),0)</f>
        <v>5</v>
      </c>
      <c r="I161" s="17">
        <f>ROUND(VLOOKUP(H$139&amp;"_2",管理者用人口入力シート!BH:CE,J161,FALSE),0)</f>
        <v>47</v>
      </c>
      <c r="J161" s="2">
        <v>24</v>
      </c>
      <c r="N161" s="2" t="s">
        <v>20</v>
      </c>
      <c r="O161" s="17">
        <f>ROUND(VLOOKUP(O$139&amp;"_1",管理者用人口入力シート!CO:DL,Q161,FALSE),0)</f>
        <v>5</v>
      </c>
      <c r="P161" s="17">
        <f>ROUND(VLOOKUP(O$139&amp;"_2",管理者用人口入力シート!CO:DL,Q161,FALSE),0)</f>
        <v>47</v>
      </c>
      <c r="Q161" s="2">
        <v>24</v>
      </c>
    </row>
    <row r="163" spans="7:17" x14ac:dyDescent="0.15">
      <c r="G163" s="2" t="s">
        <v>395</v>
      </c>
      <c r="H163" s="316">
        <f>管理者入力シート!B12</f>
        <v>2045</v>
      </c>
      <c r="I163" s="317"/>
      <c r="J163" s="2" t="s">
        <v>114</v>
      </c>
      <c r="O163" s="316">
        <f>管理者入力シート!B12</f>
        <v>2045</v>
      </c>
      <c r="P163" s="317"/>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405</v>
      </c>
      <c r="I165" s="17">
        <f>ROUND(VLOOKUP(H$163&amp;"_2",管理者用人口入力シート!BH:CE,J165,FALSE),0)</f>
        <v>386</v>
      </c>
      <c r="J165" s="2">
        <v>4</v>
      </c>
      <c r="N165" s="2" t="s">
        <v>0</v>
      </c>
      <c r="O165" s="17">
        <f>ROUND(VLOOKUP(O$163&amp;"_1",管理者用人口入力シート!CO:DL,Q165,FALSE),0)</f>
        <v>408</v>
      </c>
      <c r="P165" s="17">
        <f>ROUND(VLOOKUP(O$163&amp;"_2",管理者用人口入力シート!CO:DL,Q165,FALSE),0)</f>
        <v>389</v>
      </c>
      <c r="Q165" s="2">
        <v>4</v>
      </c>
    </row>
    <row r="166" spans="7:17" x14ac:dyDescent="0.15">
      <c r="G166" s="2" t="s">
        <v>1</v>
      </c>
      <c r="H166" s="17">
        <f>ROUND(VLOOKUP(H$163&amp;"_1",管理者用人口入力シート!BH:CE,J166,FALSE),0)</f>
        <v>411</v>
      </c>
      <c r="I166" s="17">
        <f>ROUND(VLOOKUP(H$163&amp;"_2",管理者用人口入力シート!BH:CE,J166,FALSE),0)</f>
        <v>408</v>
      </c>
      <c r="J166" s="2">
        <v>5</v>
      </c>
      <c r="N166" s="2" t="s">
        <v>1</v>
      </c>
      <c r="O166" s="17">
        <f>ROUND(VLOOKUP(O$163&amp;"_1",管理者用人口入力シート!CO:DL,Q166,FALSE),0)</f>
        <v>413</v>
      </c>
      <c r="P166" s="17">
        <f>ROUND(VLOOKUP(O$163&amp;"_2",管理者用人口入力シート!CO:DL,Q166,FALSE),0)</f>
        <v>411</v>
      </c>
      <c r="Q166" s="2">
        <v>5</v>
      </c>
    </row>
    <row r="167" spans="7:17" x14ac:dyDescent="0.15">
      <c r="G167" s="2" t="s">
        <v>2</v>
      </c>
      <c r="H167" s="17">
        <f>ROUND(VLOOKUP(H$163&amp;"_1",管理者用人口入力シート!BH:CE,J167,FALSE),0)</f>
        <v>431</v>
      </c>
      <c r="I167" s="17">
        <f>ROUND(VLOOKUP(H$163&amp;"_2",管理者用人口入力シート!BH:CE,J167,FALSE),0)</f>
        <v>427</v>
      </c>
      <c r="J167" s="2">
        <v>6</v>
      </c>
      <c r="N167" s="2" t="s">
        <v>2</v>
      </c>
      <c r="O167" s="17">
        <f>ROUND(VLOOKUP(O$163&amp;"_1",管理者用人口入力シート!CO:DL,Q167,FALSE),0)</f>
        <v>434</v>
      </c>
      <c r="P167" s="17">
        <f>ROUND(VLOOKUP(O$163&amp;"_2",管理者用人口入力シート!CO:DL,Q167,FALSE),0)</f>
        <v>430</v>
      </c>
      <c r="Q167" s="2">
        <v>6</v>
      </c>
    </row>
    <row r="168" spans="7:17" x14ac:dyDescent="0.15">
      <c r="G168" s="2" t="s">
        <v>3</v>
      </c>
      <c r="H168" s="17">
        <f>ROUND(VLOOKUP(H$163&amp;"_1",管理者用人口入力シート!BH:CE,J168,FALSE),0)</f>
        <v>386</v>
      </c>
      <c r="I168" s="17">
        <f>ROUND(VLOOKUP(H$163&amp;"_2",管理者用人口入力シート!BH:CE,J168,FALSE),0)</f>
        <v>400</v>
      </c>
      <c r="J168" s="2">
        <v>7</v>
      </c>
      <c r="N168" s="2" t="s">
        <v>3</v>
      </c>
      <c r="O168" s="17">
        <f>ROUND(VLOOKUP(O$163&amp;"_1",管理者用人口入力シート!CO:DL,Q168,FALSE),0)</f>
        <v>388</v>
      </c>
      <c r="P168" s="17">
        <f>ROUND(VLOOKUP(O$163&amp;"_2",管理者用人口入力シート!CO:DL,Q168,FALSE),0)</f>
        <v>403</v>
      </c>
      <c r="Q168" s="2">
        <v>7</v>
      </c>
    </row>
    <row r="169" spans="7:17" x14ac:dyDescent="0.15">
      <c r="G169" s="2" t="s">
        <v>4</v>
      </c>
      <c r="H169" s="17">
        <f>ROUND(VLOOKUP(H$163&amp;"_1",管理者用人口入力シート!BH:CE,J169,FALSE),0)</f>
        <v>357</v>
      </c>
      <c r="I169" s="17">
        <f>ROUND(VLOOKUP(H$163&amp;"_2",管理者用人口入力シート!BH:CE,J169,FALSE),0)</f>
        <v>324</v>
      </c>
      <c r="J169" s="2">
        <v>8</v>
      </c>
      <c r="N169" s="2" t="s">
        <v>4</v>
      </c>
      <c r="O169" s="17">
        <f>ROUND(VLOOKUP(O$163&amp;"_1",管理者用人口入力シート!CO:DL,Q169,FALSE),0)</f>
        <v>359</v>
      </c>
      <c r="P169" s="17">
        <f>ROUND(VLOOKUP(O$163&amp;"_2",管理者用人口入力シート!CO:DL,Q169,FALSE),0)</f>
        <v>325</v>
      </c>
      <c r="Q169" s="2">
        <v>8</v>
      </c>
    </row>
    <row r="170" spans="7:17" x14ac:dyDescent="0.15">
      <c r="G170" s="2" t="s">
        <v>5</v>
      </c>
      <c r="H170" s="17">
        <f>ROUND(VLOOKUP(H$163&amp;"_1",管理者用人口入力シート!BH:CE,J170,FALSE),0)</f>
        <v>534</v>
      </c>
      <c r="I170" s="17">
        <f>ROUND(VLOOKUP(H$163&amp;"_2",管理者用人口入力シート!BH:CE,J170,FALSE),0)</f>
        <v>425</v>
      </c>
      <c r="J170" s="2">
        <v>9</v>
      </c>
      <c r="N170" s="2" t="s">
        <v>5</v>
      </c>
      <c r="O170" s="17">
        <f>ROUND(VLOOKUP(O$163&amp;"_1",管理者用人口入力シート!CO:DL,Q170,FALSE),0)</f>
        <v>537</v>
      </c>
      <c r="P170" s="17">
        <f>ROUND(VLOOKUP(O$163&amp;"_2",管理者用人口入力シート!CO:DL,Q170,FALSE),0)</f>
        <v>428</v>
      </c>
      <c r="Q170" s="2">
        <v>9</v>
      </c>
    </row>
    <row r="171" spans="7:17" x14ac:dyDescent="0.15">
      <c r="G171" s="2" t="s">
        <v>6</v>
      </c>
      <c r="H171" s="17">
        <f>ROUND(VLOOKUP(H$163&amp;"_1",管理者用人口入力シート!BH:CE,J171,FALSE),0)</f>
        <v>625</v>
      </c>
      <c r="I171" s="17">
        <f>ROUND(VLOOKUP(H$163&amp;"_2",管理者用人口入力シート!BH:CE,J171,FALSE),0)</f>
        <v>441</v>
      </c>
      <c r="J171" s="2">
        <v>10</v>
      </c>
      <c r="N171" s="2" t="s">
        <v>6</v>
      </c>
      <c r="O171" s="17">
        <f>ROUND(VLOOKUP(O$163&amp;"_1",管理者用人口入力シート!CO:DL,Q171,FALSE),0)</f>
        <v>628</v>
      </c>
      <c r="P171" s="17">
        <f>ROUND(VLOOKUP(O$163&amp;"_2",管理者用人口入力シート!CO:DL,Q171,FALSE),0)</f>
        <v>444</v>
      </c>
      <c r="Q171" s="2">
        <v>10</v>
      </c>
    </row>
    <row r="172" spans="7:17" x14ac:dyDescent="0.15">
      <c r="G172" s="2" t="s">
        <v>7</v>
      </c>
      <c r="H172" s="17">
        <f>ROUND(VLOOKUP(H$163&amp;"_1",管理者用人口入力シート!BH:CE,J172,FALSE),0)</f>
        <v>631</v>
      </c>
      <c r="I172" s="17">
        <f>ROUND(VLOOKUP(H$163&amp;"_2",管理者用人口入力シート!BH:CE,J172,FALSE),0)</f>
        <v>482</v>
      </c>
      <c r="J172" s="2">
        <v>11</v>
      </c>
      <c r="N172" s="2" t="s">
        <v>7</v>
      </c>
      <c r="O172" s="17">
        <f>ROUND(VLOOKUP(O$163&amp;"_1",管理者用人口入力シート!CO:DL,Q172,FALSE),0)</f>
        <v>633</v>
      </c>
      <c r="P172" s="17">
        <f>ROUND(VLOOKUP(O$163&amp;"_2",管理者用人口入力シート!CO:DL,Q172,FALSE),0)</f>
        <v>483</v>
      </c>
      <c r="Q172" s="2">
        <v>11</v>
      </c>
    </row>
    <row r="173" spans="7:17" x14ac:dyDescent="0.15">
      <c r="G173" s="2" t="s">
        <v>8</v>
      </c>
      <c r="H173" s="17">
        <f>ROUND(VLOOKUP(H$163&amp;"_1",管理者用人口入力シート!BH:CE,J173,FALSE),0)</f>
        <v>648</v>
      </c>
      <c r="I173" s="17">
        <f>ROUND(VLOOKUP(H$163&amp;"_2",管理者用人口入力シート!BH:CE,J173,FALSE),0)</f>
        <v>480</v>
      </c>
      <c r="J173" s="2">
        <v>12</v>
      </c>
      <c r="N173" s="2" t="s">
        <v>8</v>
      </c>
      <c r="O173" s="17">
        <f>ROUND(VLOOKUP(O$163&amp;"_1",管理者用人口入力シート!CO:DL,Q173,FALSE),0)</f>
        <v>650</v>
      </c>
      <c r="P173" s="17">
        <f>ROUND(VLOOKUP(O$163&amp;"_2",管理者用人口入力シート!CO:DL,Q173,FALSE),0)</f>
        <v>483</v>
      </c>
      <c r="Q173" s="2">
        <v>12</v>
      </c>
    </row>
    <row r="174" spans="7:17" x14ac:dyDescent="0.15">
      <c r="G174" s="2" t="s">
        <v>9</v>
      </c>
      <c r="H174" s="17">
        <f>ROUND(VLOOKUP(H$163&amp;"_1",管理者用人口入力シート!BH:CE,J174,FALSE),0)</f>
        <v>699</v>
      </c>
      <c r="I174" s="17">
        <f>ROUND(VLOOKUP(H$163&amp;"_2",管理者用人口入力シート!BH:CE,J174,FALSE),0)</f>
        <v>513</v>
      </c>
      <c r="J174" s="2">
        <v>13</v>
      </c>
      <c r="N174" s="2" t="s">
        <v>9</v>
      </c>
      <c r="O174" s="17">
        <f>ROUND(VLOOKUP(O$163&amp;"_1",管理者用人口入力シート!CO:DL,Q174,FALSE),0)</f>
        <v>700</v>
      </c>
      <c r="P174" s="17">
        <f>ROUND(VLOOKUP(O$163&amp;"_2",管理者用人口入力シート!CO:DL,Q174,FALSE),0)</f>
        <v>516</v>
      </c>
      <c r="Q174" s="2">
        <v>13</v>
      </c>
    </row>
    <row r="175" spans="7:17" x14ac:dyDescent="0.15">
      <c r="G175" s="2" t="s">
        <v>10</v>
      </c>
      <c r="H175" s="17">
        <f>ROUND(VLOOKUP(H$163&amp;"_1",管理者用人口入力シート!BH:CE,J175,FALSE),0)</f>
        <v>706</v>
      </c>
      <c r="I175" s="17">
        <f>ROUND(VLOOKUP(H$163&amp;"_2",管理者用人口入力シート!BH:CE,J175,FALSE),0)</f>
        <v>510</v>
      </c>
      <c r="J175" s="2">
        <v>14</v>
      </c>
      <c r="N175" s="2" t="s">
        <v>10</v>
      </c>
      <c r="O175" s="17">
        <f>ROUND(VLOOKUP(O$163&amp;"_1",管理者用人口入力シート!CO:DL,Q175,FALSE),0)</f>
        <v>706</v>
      </c>
      <c r="P175" s="17">
        <f>ROUND(VLOOKUP(O$163&amp;"_2",管理者用人口入力シート!CO:DL,Q175,FALSE),0)</f>
        <v>511</v>
      </c>
      <c r="Q175" s="2">
        <v>14</v>
      </c>
    </row>
    <row r="176" spans="7:17" x14ac:dyDescent="0.15">
      <c r="G176" s="2" t="s">
        <v>11</v>
      </c>
      <c r="H176" s="17">
        <f>ROUND(VLOOKUP(H$163&amp;"_1",管理者用人口入力シート!BH:CE,J176,FALSE),0)</f>
        <v>707</v>
      </c>
      <c r="I176" s="17">
        <f>ROUND(VLOOKUP(H$163&amp;"_2",管理者用人口入力シート!BH:CE,J176,FALSE),0)</f>
        <v>694</v>
      </c>
      <c r="J176" s="2">
        <v>15</v>
      </c>
      <c r="N176" s="2" t="s">
        <v>11</v>
      </c>
      <c r="O176" s="17">
        <f>ROUND(VLOOKUP(O$163&amp;"_1",管理者用人口入力シート!CO:DL,Q176,FALSE),0)</f>
        <v>707</v>
      </c>
      <c r="P176" s="17">
        <f>ROUND(VLOOKUP(O$163&amp;"_2",管理者用人口入力シート!CO:DL,Q176,FALSE),0)</f>
        <v>695</v>
      </c>
      <c r="Q176" s="2">
        <v>15</v>
      </c>
    </row>
    <row r="177" spans="7:17" x14ac:dyDescent="0.15">
      <c r="G177" s="2" t="s">
        <v>12</v>
      </c>
      <c r="H177" s="17">
        <f>ROUND(VLOOKUP(H$163&amp;"_1",管理者用人口入力シート!BH:CE,J177,FALSE),0)</f>
        <v>825</v>
      </c>
      <c r="I177" s="17">
        <f>ROUND(VLOOKUP(H$163&amp;"_2",管理者用人口入力シート!BH:CE,J177,FALSE),0)</f>
        <v>806</v>
      </c>
      <c r="J177" s="2">
        <v>16</v>
      </c>
      <c r="N177" s="2" t="s">
        <v>12</v>
      </c>
      <c r="O177" s="17">
        <f>ROUND(VLOOKUP(O$163&amp;"_1",管理者用人口入力シート!CO:DL,Q177,FALSE),0)</f>
        <v>825</v>
      </c>
      <c r="P177" s="17">
        <f>ROUND(VLOOKUP(O$163&amp;"_2",管理者用人口入力シート!CO:DL,Q177,FALSE),0)</f>
        <v>807</v>
      </c>
      <c r="Q177" s="2">
        <v>16</v>
      </c>
    </row>
    <row r="178" spans="7:17" x14ac:dyDescent="0.15">
      <c r="G178" s="2" t="s">
        <v>13</v>
      </c>
      <c r="H178" s="17">
        <f>ROUND(VLOOKUP(H$163&amp;"_1",管理者用人口入力シート!BH:CE,J178,FALSE),0)</f>
        <v>943</v>
      </c>
      <c r="I178" s="17">
        <f>ROUND(VLOOKUP(H$163&amp;"_2",管理者用人口入力シート!BH:CE,J178,FALSE),0)</f>
        <v>975</v>
      </c>
      <c r="J178" s="2">
        <v>17</v>
      </c>
      <c r="N178" s="2" t="s">
        <v>13</v>
      </c>
      <c r="O178" s="17">
        <f>ROUND(VLOOKUP(O$163&amp;"_1",管理者用人口入力シート!CO:DL,Q178,FALSE),0)</f>
        <v>943</v>
      </c>
      <c r="P178" s="17">
        <f>ROUND(VLOOKUP(O$163&amp;"_2",管理者用人口入力シート!CO:DL,Q178,FALSE),0)</f>
        <v>975</v>
      </c>
      <c r="Q178" s="2">
        <v>17</v>
      </c>
    </row>
    <row r="179" spans="7:17" x14ac:dyDescent="0.15">
      <c r="G179" s="2" t="s">
        <v>14</v>
      </c>
      <c r="H179" s="17">
        <f>ROUND(VLOOKUP(H$163&amp;"_1",管理者用人口入力シート!BH:CE,J179,FALSE),0)</f>
        <v>965</v>
      </c>
      <c r="I179" s="17">
        <f>ROUND(VLOOKUP(H$163&amp;"_2",管理者用人口入力シート!BH:CE,J179,FALSE),0)</f>
        <v>1015</v>
      </c>
      <c r="J179" s="2">
        <v>18</v>
      </c>
      <c r="N179" s="2" t="s">
        <v>14</v>
      </c>
      <c r="O179" s="17">
        <f>ROUND(VLOOKUP(O$163&amp;"_1",管理者用人口入力シート!CO:DL,Q179,FALSE),0)</f>
        <v>965</v>
      </c>
      <c r="P179" s="17">
        <f>ROUND(VLOOKUP(O$163&amp;"_2",管理者用人口入力シート!CO:DL,Q179,FALSE),0)</f>
        <v>1015</v>
      </c>
      <c r="Q179" s="2">
        <v>18</v>
      </c>
    </row>
    <row r="180" spans="7:17" x14ac:dyDescent="0.15">
      <c r="G180" s="2" t="s">
        <v>15</v>
      </c>
      <c r="H180" s="17">
        <f>ROUND(VLOOKUP(H$163&amp;"_1",管理者用人口入力シート!BH:CE,J180,FALSE),0)</f>
        <v>717</v>
      </c>
      <c r="I180" s="17">
        <f>ROUND(VLOOKUP(H$163&amp;"_2",管理者用人口入力シート!BH:CE,J180,FALSE),0)</f>
        <v>876</v>
      </c>
      <c r="J180" s="2">
        <v>19</v>
      </c>
      <c r="N180" s="2" t="s">
        <v>15</v>
      </c>
      <c r="O180" s="17">
        <f>ROUND(VLOOKUP(O$163&amp;"_1",管理者用人口入力シート!CO:DL,Q180,FALSE),0)</f>
        <v>717</v>
      </c>
      <c r="P180" s="17">
        <f>ROUND(VLOOKUP(O$163&amp;"_2",管理者用人口入力シート!CO:DL,Q180,FALSE),0)</f>
        <v>876</v>
      </c>
      <c r="Q180" s="2">
        <v>19</v>
      </c>
    </row>
    <row r="181" spans="7:17" x14ac:dyDescent="0.15">
      <c r="G181" s="2" t="s">
        <v>16</v>
      </c>
      <c r="H181" s="17">
        <f>ROUND(VLOOKUP(H$163&amp;"_1",管理者用人口入力シート!BH:CE,J181,FALSE),0)</f>
        <v>598</v>
      </c>
      <c r="I181" s="17">
        <f>ROUND(VLOOKUP(H$163&amp;"_2",管理者用人口入力シート!BH:CE,J181,FALSE),0)</f>
        <v>878</v>
      </c>
      <c r="J181" s="2">
        <v>20</v>
      </c>
      <c r="N181" s="2" t="s">
        <v>16</v>
      </c>
      <c r="O181" s="17">
        <f>ROUND(VLOOKUP(O$163&amp;"_1",管理者用人口入力シート!CO:DL,Q181,FALSE),0)</f>
        <v>598</v>
      </c>
      <c r="P181" s="17">
        <f>ROUND(VLOOKUP(O$163&amp;"_2",管理者用人口入力シート!CO:DL,Q181,FALSE),0)</f>
        <v>878</v>
      </c>
      <c r="Q181" s="2">
        <v>20</v>
      </c>
    </row>
    <row r="182" spans="7:17" x14ac:dyDescent="0.15">
      <c r="G182" s="2" t="s">
        <v>17</v>
      </c>
      <c r="H182" s="17">
        <f>ROUND(VLOOKUP(H$163&amp;"_1",管理者用人口入力シート!BH:CE,J182,FALSE),0)</f>
        <v>403</v>
      </c>
      <c r="I182" s="17">
        <f>ROUND(VLOOKUP(H$163&amp;"_2",管理者用人口入力シート!BH:CE,J182,FALSE),0)</f>
        <v>713</v>
      </c>
      <c r="J182" s="2">
        <v>21</v>
      </c>
      <c r="N182" s="2" t="s">
        <v>17</v>
      </c>
      <c r="O182" s="17">
        <f>ROUND(VLOOKUP(O$163&amp;"_1",管理者用人口入力シート!CO:DL,Q182,FALSE),0)</f>
        <v>403</v>
      </c>
      <c r="P182" s="17">
        <f>ROUND(VLOOKUP(O$163&amp;"_2",管理者用人口入力シート!CO:DL,Q182,FALSE),0)</f>
        <v>713</v>
      </c>
      <c r="Q182" s="2">
        <v>21</v>
      </c>
    </row>
    <row r="183" spans="7:17" x14ac:dyDescent="0.15">
      <c r="G183" s="2" t="s">
        <v>18</v>
      </c>
      <c r="H183" s="17">
        <f>ROUND(VLOOKUP(H$163&amp;"_1",管理者用人口入力シート!BH:CE,J183,FALSE),0)</f>
        <v>233</v>
      </c>
      <c r="I183" s="17">
        <f>ROUND(VLOOKUP(H$163&amp;"_2",管理者用人口入力シート!BH:CE,J183,FALSE),0)</f>
        <v>535</v>
      </c>
      <c r="J183" s="2">
        <v>22</v>
      </c>
      <c r="N183" s="2" t="s">
        <v>18</v>
      </c>
      <c r="O183" s="17">
        <f>ROUND(VLOOKUP(O$163&amp;"_1",管理者用人口入力シート!CO:DL,Q183,FALSE),0)</f>
        <v>233</v>
      </c>
      <c r="P183" s="17">
        <f>ROUND(VLOOKUP(O$163&amp;"_2",管理者用人口入力シート!CO:DL,Q183,FALSE),0)</f>
        <v>535</v>
      </c>
      <c r="Q183" s="2">
        <v>22</v>
      </c>
    </row>
    <row r="184" spans="7:17" x14ac:dyDescent="0.15">
      <c r="G184" s="2" t="s">
        <v>19</v>
      </c>
      <c r="H184" s="17">
        <f>ROUND(VLOOKUP(H$163&amp;"_1",管理者用人口入力シート!BH:CE,J184,FALSE),0)</f>
        <v>75</v>
      </c>
      <c r="I184" s="17">
        <f>ROUND(VLOOKUP(H$163&amp;"_2",管理者用人口入力シート!BH:CE,J184,FALSE),0)</f>
        <v>230</v>
      </c>
      <c r="J184" s="2">
        <v>23</v>
      </c>
      <c r="N184" s="2" t="s">
        <v>19</v>
      </c>
      <c r="O184" s="17">
        <f>ROUND(VLOOKUP(O$163&amp;"_1",管理者用人口入力シート!CO:DL,Q184,FALSE),0)</f>
        <v>75</v>
      </c>
      <c r="P184" s="17">
        <f>ROUND(VLOOKUP(O$163&amp;"_2",管理者用人口入力シート!CO:DL,Q184,FALSE),0)</f>
        <v>230</v>
      </c>
      <c r="Q184" s="2">
        <v>23</v>
      </c>
    </row>
    <row r="185" spans="7:17" x14ac:dyDescent="0.15">
      <c r="G185" s="2" t="s">
        <v>20</v>
      </c>
      <c r="H185" s="17">
        <f>ROUND(VLOOKUP(H$163&amp;"_1",管理者用人口入力シート!BH:CE,J185,FALSE),0)</f>
        <v>5</v>
      </c>
      <c r="I185" s="17">
        <f>ROUND(VLOOKUP(H$163&amp;"_2",管理者用人口入力シート!BH:CE,J185,FALSE),0)</f>
        <v>46</v>
      </c>
      <c r="J185" s="2">
        <v>24</v>
      </c>
      <c r="N185" s="2" t="s">
        <v>20</v>
      </c>
      <c r="O185" s="17">
        <f>ROUND(VLOOKUP(O$163&amp;"_1",管理者用人口入力シート!CO:DL,Q185,FALSE),0)</f>
        <v>5</v>
      </c>
      <c r="P185" s="17">
        <f>ROUND(VLOOKUP(O$163&amp;"_2",管理者用人口入力シート!CO:DL,Q185,FALSE),0)</f>
        <v>46</v>
      </c>
      <c r="Q185" s="2">
        <v>24</v>
      </c>
    </row>
    <row r="187" spans="7:17" x14ac:dyDescent="0.15">
      <c r="G187" s="2" t="s">
        <v>396</v>
      </c>
      <c r="H187" s="316">
        <f>管理者入力シート!B13</f>
        <v>2050</v>
      </c>
      <c r="I187" s="317"/>
      <c r="J187" s="2" t="s">
        <v>114</v>
      </c>
      <c r="O187" s="316">
        <f>管理者入力シート!B13</f>
        <v>2050</v>
      </c>
      <c r="P187" s="317"/>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352</v>
      </c>
      <c r="I189" s="17">
        <f>ROUND(VLOOKUP(H$187&amp;"_2",管理者用人口入力シート!BH:CE,J189,FALSE),0)</f>
        <v>336</v>
      </c>
      <c r="J189" s="2">
        <v>4</v>
      </c>
      <c r="N189" s="2" t="s">
        <v>0</v>
      </c>
      <c r="O189" s="17">
        <f>ROUND(VLOOKUP(O$187&amp;"_1",管理者用人口入力シート!CO:DL,Q189,FALSE),0)</f>
        <v>356</v>
      </c>
      <c r="P189" s="17">
        <f>ROUND(VLOOKUP(O$187&amp;"_2",管理者用人口入力シート!CO:DL,Q189,FALSE),0)</f>
        <v>340</v>
      </c>
      <c r="Q189" s="2">
        <v>4</v>
      </c>
    </row>
    <row r="190" spans="7:17" x14ac:dyDescent="0.15">
      <c r="G190" s="2" t="s">
        <v>1</v>
      </c>
      <c r="H190" s="17">
        <f>ROUND(VLOOKUP(H$187&amp;"_1",管理者用人口入力シート!BH:CE,J190,FALSE),0)</f>
        <v>367</v>
      </c>
      <c r="I190" s="17">
        <f>ROUND(VLOOKUP(H$187&amp;"_2",管理者用人口入力シート!BH:CE,J190,FALSE),0)</f>
        <v>365</v>
      </c>
      <c r="J190" s="2">
        <v>5</v>
      </c>
      <c r="N190" s="2" t="s">
        <v>1</v>
      </c>
      <c r="O190" s="17">
        <f>ROUND(VLOOKUP(O$187&amp;"_1",管理者用人口入力シート!CO:DL,Q190,FALSE),0)</f>
        <v>370</v>
      </c>
      <c r="P190" s="17">
        <f>ROUND(VLOOKUP(O$187&amp;"_2",管理者用人口入力シート!CO:DL,Q190,FALSE),0)</f>
        <v>367</v>
      </c>
      <c r="Q190" s="2">
        <v>5</v>
      </c>
    </row>
    <row r="191" spans="7:17" x14ac:dyDescent="0.15">
      <c r="G191" s="2" t="s">
        <v>2</v>
      </c>
      <c r="H191" s="17">
        <f>ROUND(VLOOKUP(H$187&amp;"_1",管理者用人口入力シート!BH:CE,J191,FALSE),0)</f>
        <v>389</v>
      </c>
      <c r="I191" s="17">
        <f>ROUND(VLOOKUP(H$187&amp;"_2",管理者用人口入力シート!BH:CE,J191,FALSE),0)</f>
        <v>385</v>
      </c>
      <c r="J191" s="2">
        <v>6</v>
      </c>
      <c r="N191" s="2" t="s">
        <v>2</v>
      </c>
      <c r="O191" s="17">
        <f>ROUND(VLOOKUP(O$187&amp;"_1",管理者用人口入力シート!CO:DL,Q191,FALSE),0)</f>
        <v>392</v>
      </c>
      <c r="P191" s="17">
        <f>ROUND(VLOOKUP(O$187&amp;"_2",管理者用人口入力シート!CO:DL,Q191,FALSE),0)</f>
        <v>388</v>
      </c>
      <c r="Q191" s="2">
        <v>6</v>
      </c>
    </row>
    <row r="192" spans="7:17" x14ac:dyDescent="0.15">
      <c r="G192" s="2" t="s">
        <v>3</v>
      </c>
      <c r="H192" s="17">
        <f>ROUND(VLOOKUP(H$187&amp;"_1",管理者用人口入力シート!BH:CE,J192,FALSE),0)</f>
        <v>358</v>
      </c>
      <c r="I192" s="17">
        <f>ROUND(VLOOKUP(H$187&amp;"_2",管理者用人口入力シート!BH:CE,J192,FALSE),0)</f>
        <v>371</v>
      </c>
      <c r="J192" s="2">
        <v>7</v>
      </c>
      <c r="N192" s="2" t="s">
        <v>3</v>
      </c>
      <c r="O192" s="17">
        <f>ROUND(VLOOKUP(O$187&amp;"_1",管理者用人口入力シート!CO:DL,Q192,FALSE),0)</f>
        <v>361</v>
      </c>
      <c r="P192" s="17">
        <f>ROUND(VLOOKUP(O$187&amp;"_2",管理者用人口入力シート!CO:DL,Q192,FALSE),0)</f>
        <v>374</v>
      </c>
      <c r="Q192" s="2">
        <v>7</v>
      </c>
    </row>
    <row r="193" spans="7:17" x14ac:dyDescent="0.15">
      <c r="G193" s="2" t="s">
        <v>4</v>
      </c>
      <c r="H193" s="17">
        <f>ROUND(VLOOKUP(H$187&amp;"_1",管理者用人口入力シート!BH:CE,J193,FALSE),0)</f>
        <v>315</v>
      </c>
      <c r="I193" s="17">
        <f>ROUND(VLOOKUP(H$187&amp;"_2",管理者用人口入力シート!BH:CE,J193,FALSE),0)</f>
        <v>285</v>
      </c>
      <c r="J193" s="2">
        <v>8</v>
      </c>
      <c r="N193" s="2" t="s">
        <v>4</v>
      </c>
      <c r="O193" s="17">
        <f>ROUND(VLOOKUP(O$187&amp;"_1",管理者用人口入力シート!CO:DL,Q193,FALSE),0)</f>
        <v>316</v>
      </c>
      <c r="P193" s="17">
        <f>ROUND(VLOOKUP(O$187&amp;"_2",管理者用人口入力シート!CO:DL,Q193,FALSE),0)</f>
        <v>287</v>
      </c>
      <c r="Q193" s="2">
        <v>8</v>
      </c>
    </row>
    <row r="194" spans="7:17" x14ac:dyDescent="0.15">
      <c r="G194" s="2" t="s">
        <v>5</v>
      </c>
      <c r="H194" s="17">
        <f>ROUND(VLOOKUP(H$187&amp;"_1",管理者用人口入力シート!BH:CE,J194,FALSE),0)</f>
        <v>455</v>
      </c>
      <c r="I194" s="17">
        <f>ROUND(VLOOKUP(H$187&amp;"_2",管理者用人口入力シート!BH:CE,J194,FALSE),0)</f>
        <v>362</v>
      </c>
      <c r="J194" s="2">
        <v>9</v>
      </c>
      <c r="N194" s="2" t="s">
        <v>5</v>
      </c>
      <c r="O194" s="17">
        <f>ROUND(VLOOKUP(O$187&amp;"_1",管理者用人口入力シート!CO:DL,Q194,FALSE),0)</f>
        <v>458</v>
      </c>
      <c r="P194" s="17">
        <f>ROUND(VLOOKUP(O$187&amp;"_2",管理者用人口入力シート!CO:DL,Q194,FALSE),0)</f>
        <v>365</v>
      </c>
      <c r="Q194" s="2">
        <v>9</v>
      </c>
    </row>
    <row r="195" spans="7:17" x14ac:dyDescent="0.15">
      <c r="G195" s="2" t="s">
        <v>6</v>
      </c>
      <c r="H195" s="17">
        <f>ROUND(VLOOKUP(H$187&amp;"_1",管理者用人口入力シート!BH:CE,J195,FALSE),0)</f>
        <v>499</v>
      </c>
      <c r="I195" s="17">
        <f>ROUND(VLOOKUP(H$187&amp;"_2",管理者用人口入力シート!BH:CE,J195,FALSE),0)</f>
        <v>399</v>
      </c>
      <c r="J195" s="2">
        <v>10</v>
      </c>
      <c r="N195" s="2" t="s">
        <v>6</v>
      </c>
      <c r="O195" s="17">
        <f>ROUND(VLOOKUP(O$187&amp;"_1",管理者用人口入力シート!CO:DL,Q195,FALSE),0)</f>
        <v>501</v>
      </c>
      <c r="P195" s="17">
        <f>ROUND(VLOOKUP(O$187&amp;"_2",管理者用人口入力シート!CO:DL,Q195,FALSE),0)</f>
        <v>401</v>
      </c>
      <c r="Q195" s="2">
        <v>10</v>
      </c>
    </row>
    <row r="196" spans="7:17" x14ac:dyDescent="0.15">
      <c r="G196" s="2" t="s">
        <v>7</v>
      </c>
      <c r="H196" s="17">
        <f>ROUND(VLOOKUP(H$187&amp;"_1",管理者用人口入力シート!BH:CE,J196,FALSE),0)</f>
        <v>574</v>
      </c>
      <c r="I196" s="17">
        <f>ROUND(VLOOKUP(H$187&amp;"_2",管理者用人口入力シート!BH:CE,J196,FALSE),0)</f>
        <v>411</v>
      </c>
      <c r="J196" s="2">
        <v>11</v>
      </c>
      <c r="N196" s="2" t="s">
        <v>7</v>
      </c>
      <c r="O196" s="17">
        <f>ROUND(VLOOKUP(O$187&amp;"_1",管理者用人口入力シート!CO:DL,Q196,FALSE),0)</f>
        <v>576</v>
      </c>
      <c r="P196" s="17">
        <f>ROUND(VLOOKUP(O$187&amp;"_2",管理者用人口入力シート!CO:DL,Q196,FALSE),0)</f>
        <v>413</v>
      </c>
      <c r="Q196" s="2">
        <v>11</v>
      </c>
    </row>
    <row r="197" spans="7:17" x14ac:dyDescent="0.15">
      <c r="G197" s="2" t="s">
        <v>8</v>
      </c>
      <c r="H197" s="17">
        <f>ROUND(VLOOKUP(H$187&amp;"_1",管理者用人口入力シート!BH:CE,J197,FALSE),0)</f>
        <v>601</v>
      </c>
      <c r="I197" s="17">
        <f>ROUND(VLOOKUP(H$187&amp;"_2",管理者用人口入力シート!BH:CE,J197,FALSE),0)</f>
        <v>461</v>
      </c>
      <c r="J197" s="2">
        <v>12</v>
      </c>
      <c r="N197" s="2" t="s">
        <v>8</v>
      </c>
      <c r="O197" s="17">
        <f>ROUND(VLOOKUP(O$187&amp;"_1",管理者用人口入力シート!CO:DL,Q197,FALSE),0)</f>
        <v>602</v>
      </c>
      <c r="P197" s="17">
        <f>ROUND(VLOOKUP(O$187&amp;"_2",管理者用人口入力シート!CO:DL,Q197,FALSE),0)</f>
        <v>464</v>
      </c>
      <c r="Q197" s="2">
        <v>12</v>
      </c>
    </row>
    <row r="198" spans="7:17" x14ac:dyDescent="0.15">
      <c r="G198" s="2" t="s">
        <v>9</v>
      </c>
      <c r="H198" s="17">
        <f>ROUND(VLOOKUP(H$187&amp;"_1",管理者用人口入力シート!BH:CE,J198,FALSE),0)</f>
        <v>649</v>
      </c>
      <c r="I198" s="17">
        <f>ROUND(VLOOKUP(H$187&amp;"_2",管理者用人口入力シート!BH:CE,J198,FALSE),0)</f>
        <v>460</v>
      </c>
      <c r="J198" s="2">
        <v>13</v>
      </c>
      <c r="N198" s="2" t="s">
        <v>9</v>
      </c>
      <c r="O198" s="17">
        <f>ROUND(VLOOKUP(O$187&amp;"_1",管理者用人口入力シート!CO:DL,Q198,FALSE),0)</f>
        <v>650</v>
      </c>
      <c r="P198" s="17">
        <f>ROUND(VLOOKUP(O$187&amp;"_2",管理者用人口入力シート!CO:DL,Q198,FALSE),0)</f>
        <v>462</v>
      </c>
      <c r="Q198" s="2">
        <v>13</v>
      </c>
    </row>
    <row r="199" spans="7:17" x14ac:dyDescent="0.15">
      <c r="G199" s="2" t="s">
        <v>10</v>
      </c>
      <c r="H199" s="17">
        <f>ROUND(VLOOKUP(H$187&amp;"_1",管理者用人口入力シート!BH:CE,J199,FALSE),0)</f>
        <v>674</v>
      </c>
      <c r="I199" s="17">
        <f>ROUND(VLOOKUP(H$187&amp;"_2",管理者用人口入力シート!BH:CE,J199,FALSE),0)</f>
        <v>508</v>
      </c>
      <c r="J199" s="2">
        <v>14</v>
      </c>
      <c r="N199" s="2" t="s">
        <v>10</v>
      </c>
      <c r="O199" s="17">
        <f>ROUND(VLOOKUP(O$187&amp;"_1",管理者用人口入力シート!CO:DL,Q199,FALSE),0)</f>
        <v>675</v>
      </c>
      <c r="P199" s="17">
        <f>ROUND(VLOOKUP(O$187&amp;"_2",管理者用人口入力シート!CO:DL,Q199,FALSE),0)</f>
        <v>510</v>
      </c>
      <c r="Q199" s="2">
        <v>14</v>
      </c>
    </row>
    <row r="200" spans="7:17" x14ac:dyDescent="0.15">
      <c r="G200" s="2" t="s">
        <v>11</v>
      </c>
      <c r="H200" s="17">
        <f>ROUND(VLOOKUP(H$187&amp;"_1",管理者用人口入力シート!BH:CE,J200,FALSE),0)</f>
        <v>711</v>
      </c>
      <c r="I200" s="17">
        <f>ROUND(VLOOKUP(H$187&amp;"_2",管理者用人口入力シート!BH:CE,J200,FALSE),0)</f>
        <v>504</v>
      </c>
      <c r="J200" s="2">
        <v>15</v>
      </c>
      <c r="N200" s="2" t="s">
        <v>11</v>
      </c>
      <c r="O200" s="17">
        <f>ROUND(VLOOKUP(O$187&amp;"_1",管理者用人口入力シート!CO:DL,Q200,FALSE),0)</f>
        <v>711</v>
      </c>
      <c r="P200" s="17">
        <f>ROUND(VLOOKUP(O$187&amp;"_2",管理者用人口入力シート!CO:DL,Q200,FALSE),0)</f>
        <v>505</v>
      </c>
      <c r="Q200" s="2">
        <v>15</v>
      </c>
    </row>
    <row r="201" spans="7:17" x14ac:dyDescent="0.15">
      <c r="G201" s="2" t="s">
        <v>12</v>
      </c>
      <c r="H201" s="17">
        <f>ROUND(VLOOKUP(H$187&amp;"_1",管理者用人口入力シート!BH:CE,J201,FALSE),0)</f>
        <v>666</v>
      </c>
      <c r="I201" s="17">
        <f>ROUND(VLOOKUP(H$187&amp;"_2",管理者用人口入力シート!BH:CE,J201,FALSE),0)</f>
        <v>674</v>
      </c>
      <c r="J201" s="2">
        <v>16</v>
      </c>
      <c r="N201" s="2" t="s">
        <v>12</v>
      </c>
      <c r="O201" s="17">
        <f>ROUND(VLOOKUP(O$187&amp;"_1",管理者用人口入力シート!CO:DL,Q201,FALSE),0)</f>
        <v>666</v>
      </c>
      <c r="P201" s="17">
        <f>ROUND(VLOOKUP(O$187&amp;"_2",管理者用人口入力シート!CO:DL,Q201,FALSE),0)</f>
        <v>675</v>
      </c>
      <c r="Q201" s="2">
        <v>16</v>
      </c>
    </row>
    <row r="202" spans="7:17" x14ac:dyDescent="0.15">
      <c r="G202" s="2" t="s">
        <v>13</v>
      </c>
      <c r="H202" s="17">
        <f>ROUND(VLOOKUP(H$187&amp;"_1",管理者用人口入力シート!BH:CE,J202,FALSE),0)</f>
        <v>781</v>
      </c>
      <c r="I202" s="17">
        <f>ROUND(VLOOKUP(H$187&amp;"_2",管理者用人口入力シート!BH:CE,J202,FALSE),0)</f>
        <v>765</v>
      </c>
      <c r="J202" s="2">
        <v>17</v>
      </c>
      <c r="N202" s="2" t="s">
        <v>13</v>
      </c>
      <c r="O202" s="17">
        <f>ROUND(VLOOKUP(O$187&amp;"_1",管理者用人口入力シート!CO:DL,Q202,FALSE),0)</f>
        <v>781</v>
      </c>
      <c r="P202" s="17">
        <f>ROUND(VLOOKUP(O$187&amp;"_2",管理者用人口入力シート!CO:DL,Q202,FALSE),0)</f>
        <v>766</v>
      </c>
      <c r="Q202" s="2">
        <v>17</v>
      </c>
    </row>
    <row r="203" spans="7:17" x14ac:dyDescent="0.15">
      <c r="G203" s="2" t="s">
        <v>14</v>
      </c>
      <c r="H203" s="17">
        <f>ROUND(VLOOKUP(H$187&amp;"_1",管理者用人口入力シート!BH:CE,J203,FALSE),0)</f>
        <v>847</v>
      </c>
      <c r="I203" s="17">
        <f>ROUND(VLOOKUP(H$187&amp;"_2",管理者用人口入力シート!BH:CE,J203,FALSE),0)</f>
        <v>930</v>
      </c>
      <c r="J203" s="2">
        <v>18</v>
      </c>
      <c r="N203" s="2" t="s">
        <v>14</v>
      </c>
      <c r="O203" s="17">
        <f>ROUND(VLOOKUP(O$187&amp;"_1",管理者用人口入力シート!CO:DL,Q203,FALSE),0)</f>
        <v>847</v>
      </c>
      <c r="P203" s="17">
        <f>ROUND(VLOOKUP(O$187&amp;"_2",管理者用人口入力シート!CO:DL,Q203,FALSE),0)</f>
        <v>930</v>
      </c>
      <c r="Q203" s="2">
        <v>18</v>
      </c>
    </row>
    <row r="204" spans="7:17" x14ac:dyDescent="0.15">
      <c r="G204" s="2" t="s">
        <v>15</v>
      </c>
      <c r="H204" s="17">
        <f>ROUND(VLOOKUP(H$187&amp;"_1",管理者用人口入力シート!BH:CE,J204,FALSE),0)</f>
        <v>841</v>
      </c>
      <c r="I204" s="17">
        <f>ROUND(VLOOKUP(H$187&amp;"_2",管理者用人口入力シート!BH:CE,J204,FALSE),0)</f>
        <v>951</v>
      </c>
      <c r="J204" s="2">
        <v>19</v>
      </c>
      <c r="N204" s="2" t="s">
        <v>15</v>
      </c>
      <c r="O204" s="17">
        <f>ROUND(VLOOKUP(O$187&amp;"_1",管理者用人口入力シート!CO:DL,Q204,FALSE),0)</f>
        <v>841</v>
      </c>
      <c r="P204" s="17">
        <f>ROUND(VLOOKUP(O$187&amp;"_2",管理者用人口入力シート!CO:DL,Q204,FALSE),0)</f>
        <v>951</v>
      </c>
      <c r="Q204" s="2">
        <v>19</v>
      </c>
    </row>
    <row r="205" spans="7:17" x14ac:dyDescent="0.15">
      <c r="G205" s="2" t="s">
        <v>16</v>
      </c>
      <c r="H205" s="17">
        <f>ROUND(VLOOKUP(H$187&amp;"_1",管理者用人口入力シート!BH:CE,J205,FALSE),0)</f>
        <v>565</v>
      </c>
      <c r="I205" s="17">
        <f>ROUND(VLOOKUP(H$187&amp;"_2",管理者用人口入力シート!BH:CE,J205,FALSE),0)</f>
        <v>773</v>
      </c>
      <c r="J205" s="2">
        <v>20</v>
      </c>
      <c r="N205" s="2" t="s">
        <v>16</v>
      </c>
      <c r="O205" s="17">
        <f>ROUND(VLOOKUP(O$187&amp;"_1",管理者用人口入力シート!CO:DL,Q205,FALSE),0)</f>
        <v>565</v>
      </c>
      <c r="P205" s="17">
        <f>ROUND(VLOOKUP(O$187&amp;"_2",管理者用人口入力シート!CO:DL,Q205,FALSE),0)</f>
        <v>773</v>
      </c>
      <c r="Q205" s="2">
        <v>20</v>
      </c>
    </row>
    <row r="206" spans="7:17" x14ac:dyDescent="0.15">
      <c r="G206" s="2" t="s">
        <v>17</v>
      </c>
      <c r="H206" s="17">
        <f>ROUND(VLOOKUP(H$187&amp;"_1",管理者用人口入力シート!BH:CE,J206,FALSE),0)</f>
        <v>377</v>
      </c>
      <c r="I206" s="17">
        <f>ROUND(VLOOKUP(H$187&amp;"_2",管理者用人口入力シート!BH:CE,J206,FALSE),0)</f>
        <v>684</v>
      </c>
      <c r="J206" s="2">
        <v>21</v>
      </c>
      <c r="N206" s="2" t="s">
        <v>17</v>
      </c>
      <c r="O206" s="17">
        <f>ROUND(VLOOKUP(O$187&amp;"_1",管理者用人口入力シート!CO:DL,Q206,FALSE),0)</f>
        <v>377</v>
      </c>
      <c r="P206" s="17">
        <f>ROUND(VLOOKUP(O$187&amp;"_2",管理者用人口入力シート!CO:DL,Q206,FALSE),0)</f>
        <v>684</v>
      </c>
      <c r="Q206" s="2">
        <v>21</v>
      </c>
    </row>
    <row r="207" spans="7:17" x14ac:dyDescent="0.15">
      <c r="G207" s="2" t="s">
        <v>18</v>
      </c>
      <c r="H207" s="17">
        <f>ROUND(VLOOKUP(H$187&amp;"_1",管理者用人口入力シート!BH:CE,J207,FALSE),0)</f>
        <v>196</v>
      </c>
      <c r="I207" s="17">
        <f>ROUND(VLOOKUP(H$187&amp;"_2",管理者用人口入力シート!BH:CE,J207,FALSE),0)</f>
        <v>448</v>
      </c>
      <c r="J207" s="2">
        <v>22</v>
      </c>
      <c r="N207" s="2" t="s">
        <v>18</v>
      </c>
      <c r="O207" s="17">
        <f>ROUND(VLOOKUP(O$187&amp;"_1",管理者用人口入力シート!CO:DL,Q207,FALSE),0)</f>
        <v>196</v>
      </c>
      <c r="P207" s="17">
        <f>ROUND(VLOOKUP(O$187&amp;"_2",管理者用人口入力シート!CO:DL,Q207,FALSE),0)</f>
        <v>448</v>
      </c>
      <c r="Q207" s="2">
        <v>22</v>
      </c>
    </row>
    <row r="208" spans="7:17" x14ac:dyDescent="0.15">
      <c r="G208" s="2" t="s">
        <v>19</v>
      </c>
      <c r="H208" s="17">
        <f>ROUND(VLOOKUP(H$187&amp;"_1",管理者用人口入力シート!BH:CE,J208,FALSE),0)</f>
        <v>64</v>
      </c>
      <c r="I208" s="17">
        <f>ROUND(VLOOKUP(H$187&amp;"_2",管理者用人口入力シート!BH:CE,J208,FALSE),0)</f>
        <v>212</v>
      </c>
      <c r="J208" s="2">
        <v>23</v>
      </c>
      <c r="N208" s="2" t="s">
        <v>19</v>
      </c>
      <c r="O208" s="17">
        <f>ROUND(VLOOKUP(O$187&amp;"_1",管理者用人口入力シート!CO:DL,Q208,FALSE),0)</f>
        <v>64</v>
      </c>
      <c r="P208" s="17">
        <f>ROUND(VLOOKUP(O$187&amp;"_2",管理者用人口入力シート!CO:DL,Q208,FALSE),0)</f>
        <v>212</v>
      </c>
      <c r="Q208" s="2">
        <v>23</v>
      </c>
    </row>
    <row r="209" spans="7:17" x14ac:dyDescent="0.15">
      <c r="G209" s="2" t="s">
        <v>20</v>
      </c>
      <c r="H209" s="17">
        <f>ROUND(VLOOKUP(H$187&amp;"_1",管理者用人口入力シート!BH:CE,J209,FALSE),0)</f>
        <v>7</v>
      </c>
      <c r="I209" s="17">
        <f>ROUND(VLOOKUP(H$187&amp;"_2",管理者用人口入力シート!BH:CE,J209,FALSE),0)</f>
        <v>56</v>
      </c>
      <c r="J209" s="2">
        <v>24</v>
      </c>
      <c r="N209" s="2" t="s">
        <v>20</v>
      </c>
      <c r="O209" s="17">
        <f>ROUND(VLOOKUP(O$187&amp;"_1",管理者用人口入力シート!CO:DL,Q209,FALSE),0)</f>
        <v>7</v>
      </c>
      <c r="P209" s="17">
        <f>ROUND(VLOOKUP(O$187&amp;"_2",管理者用人口入力シート!CO:DL,Q209,FALSE),0)</f>
        <v>56</v>
      </c>
      <c r="Q209" s="2">
        <v>24</v>
      </c>
    </row>
    <row r="212" spans="7:17" x14ac:dyDescent="0.15">
      <c r="N212" s="2" t="s">
        <v>273</v>
      </c>
      <c r="O212" s="316">
        <f>O91</f>
        <v>2030</v>
      </c>
      <c r="P212" s="317"/>
      <c r="Q212" s="2" t="s">
        <v>114</v>
      </c>
    </row>
    <row r="213" spans="7:17" x14ac:dyDescent="0.15">
      <c r="N213" s="2" t="s">
        <v>115</v>
      </c>
      <c r="O213" s="78" t="s">
        <v>329</v>
      </c>
      <c r="P213" s="78" t="s">
        <v>330</v>
      </c>
    </row>
    <row r="214" spans="7:17" x14ac:dyDescent="0.15">
      <c r="N214" s="2" t="s">
        <v>0</v>
      </c>
      <c r="O214" s="17">
        <f>H93+I93</f>
        <v>1057</v>
      </c>
      <c r="P214" s="17">
        <f>O93+P93</f>
        <v>1061</v>
      </c>
      <c r="Q214" s="2">
        <v>4</v>
      </c>
    </row>
    <row r="215" spans="7:17" x14ac:dyDescent="0.15">
      <c r="N215" s="2" t="s">
        <v>1</v>
      </c>
      <c r="O215" s="17">
        <f t="shared" ref="O215:O233" si="37">H94+I94</f>
        <v>1111</v>
      </c>
      <c r="P215" s="17">
        <f t="shared" ref="P215:P233" si="38">O94+P94</f>
        <v>1113</v>
      </c>
      <c r="Q215" s="2">
        <v>5</v>
      </c>
    </row>
    <row r="216" spans="7:17" x14ac:dyDescent="0.15">
      <c r="N216" s="2" t="s">
        <v>2</v>
      </c>
      <c r="O216" s="17">
        <f t="shared" si="37"/>
        <v>1234</v>
      </c>
      <c r="P216" s="17">
        <f t="shared" si="38"/>
        <v>1236</v>
      </c>
      <c r="Q216" s="2">
        <v>6</v>
      </c>
    </row>
    <row r="217" spans="7:17" x14ac:dyDescent="0.15">
      <c r="N217" s="2" t="s">
        <v>3</v>
      </c>
      <c r="O217" s="17">
        <f t="shared" si="37"/>
        <v>1237</v>
      </c>
      <c r="P217" s="17">
        <f t="shared" si="38"/>
        <v>1239</v>
      </c>
      <c r="Q217" s="2">
        <v>7</v>
      </c>
    </row>
    <row r="218" spans="7:17" x14ac:dyDescent="0.15">
      <c r="N218" s="2" t="s">
        <v>4</v>
      </c>
      <c r="O218" s="17">
        <f t="shared" si="37"/>
        <v>1074</v>
      </c>
      <c r="P218" s="17">
        <f t="shared" si="38"/>
        <v>1074</v>
      </c>
      <c r="Q218" s="2">
        <v>8</v>
      </c>
    </row>
    <row r="219" spans="7:17" x14ac:dyDescent="0.15">
      <c r="N219" s="2" t="s">
        <v>5</v>
      </c>
      <c r="O219" s="17">
        <f t="shared" si="37"/>
        <v>1370</v>
      </c>
      <c r="P219" s="17">
        <f t="shared" si="38"/>
        <v>1374</v>
      </c>
      <c r="Q219" s="2">
        <v>9</v>
      </c>
    </row>
    <row r="220" spans="7:17" x14ac:dyDescent="0.15">
      <c r="N220" s="2" t="s">
        <v>6</v>
      </c>
      <c r="O220" s="17">
        <f t="shared" si="37"/>
        <v>1401</v>
      </c>
      <c r="P220" s="17">
        <f t="shared" si="38"/>
        <v>1405</v>
      </c>
      <c r="Q220" s="2">
        <v>10</v>
      </c>
    </row>
    <row r="221" spans="7:17" x14ac:dyDescent="0.15">
      <c r="N221" s="2" t="s">
        <v>7</v>
      </c>
      <c r="O221" s="17">
        <f t="shared" si="37"/>
        <v>1331</v>
      </c>
      <c r="P221" s="17">
        <f t="shared" si="38"/>
        <v>1331</v>
      </c>
      <c r="Q221" s="2">
        <v>11</v>
      </c>
    </row>
    <row r="222" spans="7:17" x14ac:dyDescent="0.15">
      <c r="N222" s="2" t="s">
        <v>8</v>
      </c>
      <c r="O222" s="17">
        <f t="shared" si="37"/>
        <v>1470</v>
      </c>
      <c r="P222" s="17">
        <f t="shared" si="38"/>
        <v>1471</v>
      </c>
      <c r="Q222" s="2">
        <v>12</v>
      </c>
    </row>
    <row r="223" spans="7:17" x14ac:dyDescent="0.15">
      <c r="N223" s="2" t="s">
        <v>9</v>
      </c>
      <c r="O223" s="17">
        <f t="shared" si="37"/>
        <v>1751</v>
      </c>
      <c r="P223" s="17">
        <f t="shared" si="38"/>
        <v>1752</v>
      </c>
      <c r="Q223" s="2">
        <v>13</v>
      </c>
    </row>
    <row r="224" spans="7:17" x14ac:dyDescent="0.15">
      <c r="N224" s="2" t="s">
        <v>10</v>
      </c>
      <c r="O224" s="17">
        <f t="shared" si="37"/>
        <v>2121</v>
      </c>
      <c r="P224" s="17">
        <f t="shared" si="38"/>
        <v>2121</v>
      </c>
      <c r="Q224" s="2">
        <v>14</v>
      </c>
    </row>
    <row r="225" spans="14:17" x14ac:dyDescent="0.15">
      <c r="N225" s="2" t="s">
        <v>11</v>
      </c>
      <c r="O225" s="17">
        <f t="shared" si="37"/>
        <v>2361</v>
      </c>
      <c r="P225" s="17">
        <f t="shared" si="38"/>
        <v>2361</v>
      </c>
      <c r="Q225" s="2">
        <v>15</v>
      </c>
    </row>
    <row r="226" spans="14:17" x14ac:dyDescent="0.15">
      <c r="N226" s="2" t="s">
        <v>12</v>
      </c>
      <c r="O226" s="17">
        <f t="shared" si="37"/>
        <v>2001</v>
      </c>
      <c r="P226" s="17">
        <f t="shared" si="38"/>
        <v>2001</v>
      </c>
      <c r="Q226" s="2">
        <v>16</v>
      </c>
    </row>
    <row r="227" spans="14:17" x14ac:dyDescent="0.15">
      <c r="N227" s="2" t="s">
        <v>13</v>
      </c>
      <c r="O227" s="17">
        <f t="shared" si="37"/>
        <v>2084</v>
      </c>
      <c r="P227" s="17">
        <f t="shared" si="38"/>
        <v>2084</v>
      </c>
      <c r="Q227" s="2">
        <v>17</v>
      </c>
    </row>
    <row r="228" spans="14:17" x14ac:dyDescent="0.15">
      <c r="N228" s="2" t="s">
        <v>14</v>
      </c>
      <c r="O228" s="17">
        <f t="shared" si="37"/>
        <v>2039</v>
      </c>
      <c r="P228" s="17">
        <f t="shared" si="38"/>
        <v>2039</v>
      </c>
      <c r="Q228" s="2">
        <v>18</v>
      </c>
    </row>
    <row r="229" spans="14:17" x14ac:dyDescent="0.15">
      <c r="N229" s="2" t="s">
        <v>15</v>
      </c>
      <c r="O229" s="17">
        <f t="shared" si="37"/>
        <v>2203</v>
      </c>
      <c r="P229" s="17">
        <f t="shared" si="38"/>
        <v>2203</v>
      </c>
      <c r="Q229" s="2">
        <v>19</v>
      </c>
    </row>
    <row r="230" spans="14:17" x14ac:dyDescent="0.15">
      <c r="N230" s="2" t="s">
        <v>16</v>
      </c>
      <c r="O230" s="17">
        <f t="shared" si="37"/>
        <v>2067</v>
      </c>
      <c r="P230" s="17">
        <f t="shared" si="38"/>
        <v>2067</v>
      </c>
      <c r="Q230" s="2">
        <v>20</v>
      </c>
    </row>
    <row r="231" spans="14:17" x14ac:dyDescent="0.15">
      <c r="N231" s="2" t="s">
        <v>17</v>
      </c>
      <c r="O231" s="17">
        <f t="shared" si="37"/>
        <v>1152</v>
      </c>
      <c r="P231" s="17">
        <f t="shared" si="38"/>
        <v>1152</v>
      </c>
      <c r="Q231" s="2">
        <v>21</v>
      </c>
    </row>
    <row r="232" spans="14:17" x14ac:dyDescent="0.15">
      <c r="N232" s="2" t="s">
        <v>18</v>
      </c>
      <c r="O232" s="17">
        <f t="shared" si="37"/>
        <v>701</v>
      </c>
      <c r="P232" s="17">
        <f t="shared" si="38"/>
        <v>701</v>
      </c>
      <c r="Q232" s="2">
        <v>22</v>
      </c>
    </row>
    <row r="233" spans="14:17" x14ac:dyDescent="0.15">
      <c r="N233" s="2" t="s">
        <v>19</v>
      </c>
      <c r="O233" s="17">
        <f t="shared" si="37"/>
        <v>281</v>
      </c>
      <c r="P233" s="17">
        <f t="shared" si="38"/>
        <v>281</v>
      </c>
      <c r="Q233" s="2">
        <v>23</v>
      </c>
    </row>
    <row r="234" spans="14:17" x14ac:dyDescent="0.15">
      <c r="N234" s="2" t="s">
        <v>20</v>
      </c>
      <c r="O234" s="17">
        <f>H113+I113</f>
        <v>54</v>
      </c>
      <c r="P234" s="17">
        <f>O113+P113</f>
        <v>54</v>
      </c>
      <c r="Q234" s="2">
        <v>24</v>
      </c>
    </row>
    <row r="236" spans="14:17" x14ac:dyDescent="0.15">
      <c r="N236" s="2" t="s">
        <v>273</v>
      </c>
      <c r="O236" s="316">
        <f>O139</f>
        <v>2040</v>
      </c>
      <c r="P236" s="317"/>
      <c r="Q236" s="2" t="s">
        <v>114</v>
      </c>
    </row>
    <row r="237" spans="14:17" x14ac:dyDescent="0.15">
      <c r="N237" s="2" t="s">
        <v>115</v>
      </c>
      <c r="O237" s="78" t="s">
        <v>329</v>
      </c>
      <c r="P237" s="78" t="s">
        <v>330</v>
      </c>
    </row>
    <row r="238" spans="14:17" x14ac:dyDescent="0.15">
      <c r="N238" s="2" t="s">
        <v>0</v>
      </c>
      <c r="O238" s="17">
        <f>H141+I141</f>
        <v>885</v>
      </c>
      <c r="P238" s="17">
        <f>O141+P141</f>
        <v>890</v>
      </c>
      <c r="Q238" s="2">
        <v>4</v>
      </c>
    </row>
    <row r="239" spans="14:17" x14ac:dyDescent="0.15">
      <c r="N239" s="2" t="s">
        <v>1</v>
      </c>
      <c r="O239" s="17">
        <f t="shared" ref="O239:O257" si="39">H142+I142</f>
        <v>907</v>
      </c>
      <c r="P239" s="17">
        <f t="shared" ref="P239:P257" si="40">O142+P142</f>
        <v>911</v>
      </c>
      <c r="Q239" s="2">
        <v>5</v>
      </c>
    </row>
    <row r="240" spans="14:17" x14ac:dyDescent="0.15">
      <c r="N240" s="2" t="s">
        <v>2</v>
      </c>
      <c r="O240" s="17">
        <f t="shared" si="39"/>
        <v>924</v>
      </c>
      <c r="P240" s="17">
        <f t="shared" si="40"/>
        <v>930</v>
      </c>
      <c r="Q240" s="2">
        <v>6</v>
      </c>
    </row>
    <row r="241" spans="14:17" x14ac:dyDescent="0.15">
      <c r="N241" s="2" t="s">
        <v>3</v>
      </c>
      <c r="O241" s="17">
        <f t="shared" si="39"/>
        <v>894</v>
      </c>
      <c r="P241" s="17">
        <f t="shared" si="40"/>
        <v>896</v>
      </c>
      <c r="Q241" s="2">
        <v>7</v>
      </c>
    </row>
    <row r="242" spans="14:17" x14ac:dyDescent="0.15">
      <c r="N242" s="2" t="s">
        <v>4</v>
      </c>
      <c r="O242" s="17">
        <f t="shared" si="39"/>
        <v>801</v>
      </c>
      <c r="P242" s="17">
        <f t="shared" si="40"/>
        <v>803</v>
      </c>
      <c r="Q242" s="2">
        <v>8</v>
      </c>
    </row>
    <row r="243" spans="14:17" x14ac:dyDescent="0.15">
      <c r="N243" s="2" t="s">
        <v>5</v>
      </c>
      <c r="O243" s="17">
        <f t="shared" si="39"/>
        <v>1141</v>
      </c>
      <c r="P243" s="17">
        <f t="shared" si="40"/>
        <v>1146</v>
      </c>
      <c r="Q243" s="2">
        <v>9</v>
      </c>
    </row>
    <row r="244" spans="14:17" x14ac:dyDescent="0.15">
      <c r="N244" s="2" t="s">
        <v>6</v>
      </c>
      <c r="O244" s="17">
        <f t="shared" si="39"/>
        <v>1206</v>
      </c>
      <c r="P244" s="17">
        <f t="shared" si="40"/>
        <v>1210</v>
      </c>
      <c r="Q244" s="2">
        <v>10</v>
      </c>
    </row>
    <row r="245" spans="14:17" x14ac:dyDescent="0.15">
      <c r="N245" s="2" t="s">
        <v>7</v>
      </c>
      <c r="O245" s="17">
        <f t="shared" si="39"/>
        <v>1183</v>
      </c>
      <c r="P245" s="17">
        <f t="shared" si="40"/>
        <v>1186</v>
      </c>
      <c r="Q245" s="2">
        <v>11</v>
      </c>
    </row>
    <row r="246" spans="14:17" x14ac:dyDescent="0.15">
      <c r="N246" s="2" t="s">
        <v>8</v>
      </c>
      <c r="O246" s="17">
        <f t="shared" si="39"/>
        <v>1234</v>
      </c>
      <c r="P246" s="17">
        <f t="shared" si="40"/>
        <v>1239</v>
      </c>
      <c r="Q246" s="2">
        <v>12</v>
      </c>
    </row>
    <row r="247" spans="14:17" x14ac:dyDescent="0.15">
      <c r="N247" s="2" t="s">
        <v>9</v>
      </c>
      <c r="O247" s="17">
        <f t="shared" si="39"/>
        <v>1248</v>
      </c>
      <c r="P247" s="17">
        <f t="shared" si="40"/>
        <v>1249</v>
      </c>
      <c r="Q247" s="2">
        <v>13</v>
      </c>
    </row>
    <row r="248" spans="14:17" x14ac:dyDescent="0.15">
      <c r="N248" s="2" t="s">
        <v>10</v>
      </c>
      <c r="O248" s="17">
        <f t="shared" si="39"/>
        <v>1404</v>
      </c>
      <c r="P248" s="17">
        <f t="shared" si="40"/>
        <v>1405</v>
      </c>
      <c r="Q248" s="2">
        <v>14</v>
      </c>
    </row>
    <row r="249" spans="14:17" x14ac:dyDescent="0.15">
      <c r="N249" s="2" t="s">
        <v>11</v>
      </c>
      <c r="O249" s="17">
        <f t="shared" si="39"/>
        <v>1706</v>
      </c>
      <c r="P249" s="17">
        <f t="shared" si="40"/>
        <v>1707</v>
      </c>
      <c r="Q249" s="2">
        <v>15</v>
      </c>
    </row>
    <row r="250" spans="14:17" x14ac:dyDescent="0.15">
      <c r="N250" s="2" t="s">
        <v>12</v>
      </c>
      <c r="O250" s="17">
        <f t="shared" si="39"/>
        <v>2024</v>
      </c>
      <c r="P250" s="17">
        <f t="shared" si="40"/>
        <v>2024</v>
      </c>
      <c r="Q250" s="2">
        <v>16</v>
      </c>
    </row>
    <row r="251" spans="14:17" x14ac:dyDescent="0.15">
      <c r="N251" s="2" t="s">
        <v>13</v>
      </c>
      <c r="O251" s="17">
        <f t="shared" si="39"/>
        <v>2140</v>
      </c>
      <c r="P251" s="17">
        <f t="shared" si="40"/>
        <v>2140</v>
      </c>
      <c r="Q251" s="2">
        <v>17</v>
      </c>
    </row>
    <row r="252" spans="14:17" x14ac:dyDescent="0.15">
      <c r="N252" s="2" t="s">
        <v>14</v>
      </c>
      <c r="O252" s="17">
        <f t="shared" si="39"/>
        <v>1758</v>
      </c>
      <c r="P252" s="17">
        <f t="shared" si="40"/>
        <v>1758</v>
      </c>
      <c r="Q252" s="2">
        <v>18</v>
      </c>
    </row>
    <row r="253" spans="14:17" x14ac:dyDescent="0.15">
      <c r="N253" s="2" t="s">
        <v>15</v>
      </c>
      <c r="O253" s="17">
        <f t="shared" si="39"/>
        <v>1754</v>
      </c>
      <c r="P253" s="17">
        <f t="shared" si="40"/>
        <v>1754</v>
      </c>
      <c r="Q253" s="2">
        <v>19</v>
      </c>
    </row>
    <row r="254" spans="14:17" x14ac:dyDescent="0.15">
      <c r="N254" s="2" t="s">
        <v>16</v>
      </c>
      <c r="O254" s="17">
        <f t="shared" si="39"/>
        <v>1555</v>
      </c>
      <c r="P254" s="17">
        <f t="shared" si="40"/>
        <v>1555</v>
      </c>
      <c r="Q254" s="2">
        <v>20</v>
      </c>
    </row>
    <row r="255" spans="14:17" x14ac:dyDescent="0.15">
      <c r="N255" s="2" t="s">
        <v>17</v>
      </c>
      <c r="O255" s="17">
        <f t="shared" si="39"/>
        <v>1331</v>
      </c>
      <c r="P255" s="17">
        <f t="shared" si="40"/>
        <v>1331</v>
      </c>
      <c r="Q255" s="2">
        <v>21</v>
      </c>
    </row>
    <row r="256" spans="14:17" x14ac:dyDescent="0.15">
      <c r="N256" s="2" t="s">
        <v>18</v>
      </c>
      <c r="O256" s="17">
        <f t="shared" si="39"/>
        <v>851</v>
      </c>
      <c r="P256" s="17">
        <f t="shared" si="40"/>
        <v>851</v>
      </c>
      <c r="Q256" s="2">
        <v>22</v>
      </c>
    </row>
    <row r="257" spans="14:17" x14ac:dyDescent="0.15">
      <c r="N257" s="2" t="s">
        <v>19</v>
      </c>
      <c r="O257" s="17">
        <f t="shared" si="39"/>
        <v>242</v>
      </c>
      <c r="P257" s="17">
        <f t="shared" si="40"/>
        <v>242</v>
      </c>
      <c r="Q257" s="2">
        <v>23</v>
      </c>
    </row>
    <row r="258" spans="14:17" x14ac:dyDescent="0.15">
      <c r="N258" s="2" t="s">
        <v>20</v>
      </c>
      <c r="O258" s="17">
        <f>H161+I161</f>
        <v>52</v>
      </c>
      <c r="P258" s="17">
        <f>O161+P161</f>
        <v>52</v>
      </c>
      <c r="Q258" s="2">
        <v>24</v>
      </c>
    </row>
  </sheetData>
  <mergeCells count="1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2019-03-15T11:16:00Z</cp:lastPrinted>
  <dcterms:created xsi:type="dcterms:W3CDTF">2018-08-17T00:57:13Z</dcterms:created>
  <dcterms:modified xsi:type="dcterms:W3CDTF">2023-03-06T05:45:24Z</dcterms:modified>
</cp:coreProperties>
</file>