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Q/WV2s1Yg+ezCzHEvmq/pxhqxEu4zU4lepl4Z9w/SeMWNK+T1nu7cy+NPW3XNPTsK7RHH26dDW+KaG0vSeaatw==" workbookSaltValue="es7FVl4A4nxR23h1sc0P/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O46" i="18"/>
  <c r="AX8" i="17"/>
  <c r="BW4" i="17" s="1"/>
  <c r="DD4" i="17" s="1"/>
  <c r="BB8" i="17"/>
  <c r="CA4" i="17" s="1"/>
  <c r="DH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CM3" i="17"/>
  <c r="DG3" i="17"/>
  <c r="CA6" i="17"/>
  <c r="CJ3" i="17"/>
  <c r="DF3" i="17"/>
  <c r="BZ6" i="17"/>
  <c r="DE3" i="17"/>
  <c r="BY6" i="17"/>
  <c r="CI3" i="17"/>
  <c r="DH3" i="17"/>
  <c r="CB6" i="17"/>
  <c r="BN6" i="17"/>
  <c r="BO5" i="17"/>
  <c r="BS5" i="17"/>
  <c r="BV6" i="17"/>
  <c r="BX6" i="17"/>
  <c r="BP6" i="17"/>
  <c r="BT6" i="17"/>
  <c r="O42" i="18"/>
  <c r="O60" i="18"/>
  <c r="O52" i="18"/>
  <c r="O24" i="18"/>
  <c r="O34" i="18"/>
  <c r="O16" i="18"/>
  <c r="CA5" i="17" l="1"/>
  <c r="BW5" i="17"/>
  <c r="EL4" i="17"/>
  <c r="EL5" i="17" s="1"/>
  <c r="CC5" i="17"/>
  <c r="CJ5" i="17" s="1"/>
  <c r="O75" i="18"/>
  <c r="ER4" i="17"/>
  <c r="ES7"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R7" i="17" l="1"/>
  <c r="CM5" i="17"/>
  <c r="BU8" i="17"/>
  <c r="ER5" i="17"/>
  <c r="ER21" i="17"/>
  <c r="ER22" i="17" s="1"/>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DQ7" i="17" l="1"/>
  <c r="DI10" i="17"/>
  <c r="EY21" i="17"/>
  <c r="EX21" i="17"/>
  <c r="DH8" i="17"/>
  <c r="DQ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50" i="18" l="1"/>
  <c r="P226" i="18"/>
  <c r="DB16" i="17"/>
  <c r="DC19" i="17" s="1"/>
  <c r="P200" i="18" s="1"/>
  <c r="DG19" i="17"/>
  <c r="P204" i="18" s="1"/>
  <c r="DP8" i="17"/>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CF12" i="17" l="1"/>
  <c r="CK12" i="17" s="1"/>
  <c r="DW7" i="17"/>
  <c r="DW8" i="17"/>
  <c r="DW10" i="17"/>
  <c r="DW16" i="17" s="1"/>
  <c r="EY14"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9" i="17" l="1"/>
  <c r="CK13" i="17"/>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DX18" i="17"/>
  <c r="EE12" i="17"/>
  <c r="EE6" i="17"/>
  <c r="EF9" i="17" s="1"/>
  <c r="C37" i="21"/>
  <c r="EE4" i="17"/>
  <c r="EF4" i="17"/>
  <c r="EF21" i="17" s="1"/>
  <c r="EE13" i="17"/>
  <c r="EE3" i="17"/>
  <c r="EE7" i="17"/>
  <c r="EG4" i="17"/>
  <c r="EE10" i="17"/>
  <c r="EG3" i="17"/>
  <c r="EF3" i="17"/>
  <c r="EF12"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21" i="17"/>
  <c r="EH7" i="17"/>
  <c r="EE24" i="17"/>
  <c r="EF6" i="17"/>
  <c r="EE5" i="17"/>
  <c r="EE20" i="17"/>
  <c r="EU3" i="17"/>
  <c r="FB3" i="17"/>
  <c r="EE30" i="17"/>
  <c r="EF13" i="17"/>
  <c r="EF30" i="17" s="1"/>
  <c r="EE27" i="17"/>
  <c r="EF29" i="17"/>
  <c r="EG7" i="17"/>
  <c r="EE21" i="17"/>
  <c r="EU4" i="17"/>
  <c r="FB4" i="17"/>
  <c r="EG12" i="17"/>
  <c r="FB12" i="17" s="1"/>
  <c r="EF26" i="17"/>
  <c r="D38" i="21"/>
  <c r="C38" i="21"/>
  <c r="C39" i="21"/>
  <c r="D39" i="21"/>
  <c r="D37" i="21"/>
  <c r="EF7" i="17"/>
  <c r="EE23" i="17"/>
  <c r="EE8" i="17"/>
  <c r="EF10" i="17"/>
  <c r="EF11" i="17" s="1"/>
  <c r="EE29" i="17"/>
  <c r="EE14" i="17"/>
  <c r="EG6" i="17"/>
  <c r="EF5" i="17"/>
  <c r="EF20" i="17"/>
  <c r="EF22" i="17" s="1"/>
  <c r="EH6" i="17"/>
  <c r="EG5" i="17"/>
  <c r="EG20" i="17"/>
  <c r="EG22" i="17" s="1"/>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25" i="17" l="1"/>
  <c r="EG23" i="17"/>
  <c r="EH9" i="17"/>
  <c r="EG13" i="17"/>
  <c r="EG30" i="17" s="1"/>
  <c r="FB30" i="17" s="1"/>
  <c r="EF27" i="17"/>
  <c r="EG29" i="17"/>
  <c r="EZ3" i="17"/>
  <c r="FA3" i="17"/>
  <c r="EE22" i="17"/>
  <c r="FB20" i="17"/>
  <c r="EU20" i="17"/>
  <c r="FB6" i="17"/>
  <c r="FA4" i="17"/>
  <c r="EZ4" i="17"/>
  <c r="FB5" i="17"/>
  <c r="EU5" i="17"/>
  <c r="EE31" i="17"/>
  <c r="FB21" i="17"/>
  <c r="EU21" i="17"/>
  <c r="EF23" i="17"/>
  <c r="EG9" i="17"/>
  <c r="EF8" i="17"/>
  <c r="EF24" i="17"/>
  <c r="EG10" i="17"/>
  <c r="EG8" i="17"/>
  <c r="EH10" i="17"/>
  <c r="EG24" i="17"/>
  <c r="FB7" i="17"/>
  <c r="EI9" i="17"/>
  <c r="EH23" i="17"/>
  <c r="EH8" i="17"/>
  <c r="EF31" i="17"/>
  <c r="EF14" i="17"/>
  <c r="EI10" i="17"/>
  <c r="EH24" i="17"/>
  <c r="EE28" i="17"/>
  <c r="D11" i="19"/>
  <c r="CK18" i="17"/>
  <c r="DS20" i="17"/>
  <c r="DS18" i="17"/>
  <c r="CK19" i="17"/>
  <c r="CL19" i="17"/>
  <c r="CF20" i="17"/>
  <c r="EG14" i="17" l="1"/>
  <c r="EG25" i="17"/>
  <c r="FB8" i="17"/>
  <c r="FB14" i="17"/>
  <c r="EZ21" i="17"/>
  <c r="FA21" i="17"/>
  <c r="FB22" i="17"/>
  <c r="EU22" i="17"/>
  <c r="EI11" i="17"/>
  <c r="EJ12" i="17"/>
  <c r="EI26" i="17"/>
  <c r="DZ7" i="17"/>
  <c r="DZ6" i="17"/>
  <c r="EZ5" i="17"/>
  <c r="FA5" i="17"/>
  <c r="FB29" i="17"/>
  <c r="EG31" i="17"/>
  <c r="FB31" i="17" s="1"/>
  <c r="EH27" i="17"/>
  <c r="EI13" i="17"/>
  <c r="EI30" i="17" s="1"/>
  <c r="EF28" i="17"/>
  <c r="EH25" i="17"/>
  <c r="FB10" i="17"/>
  <c r="EH13" i="17"/>
  <c r="EH30" i="17" s="1"/>
  <c r="EG27" i="17"/>
  <c r="EJ13" i="17"/>
  <c r="EJ30" i="17" s="1"/>
  <c r="EI27" i="17"/>
  <c r="EF25" i="17"/>
  <c r="FB13" i="17"/>
  <c r="EH26" i="17"/>
  <c r="EI12" i="17"/>
  <c r="EH11" i="17"/>
  <c r="FB24" i="17"/>
  <c r="EG26" i="17"/>
  <c r="FB26" i="17" s="1"/>
  <c r="EH12" i="17"/>
  <c r="EG11" i="17"/>
  <c r="FB11" i="17" s="1"/>
  <c r="FB9" i="17"/>
  <c r="FA20" i="17"/>
  <c r="EZ20" i="17"/>
  <c r="FB23" i="17"/>
  <c r="CK20" i="17"/>
  <c r="CL20" i="17"/>
  <c r="FB25" i="17" l="1"/>
  <c r="EG28" i="17"/>
  <c r="FB28" i="17" s="1"/>
  <c r="EH28" i="17"/>
  <c r="DZ23" i="17"/>
  <c r="EA9" i="17"/>
  <c r="EU6" i="17"/>
  <c r="DZ8" i="17"/>
  <c r="EU8" i="17" s="1"/>
  <c r="EH29" i="17"/>
  <c r="EH31" i="17" s="1"/>
  <c r="EH14" i="17"/>
  <c r="DZ10" i="17"/>
  <c r="DZ9" i="17"/>
  <c r="EI28" i="17"/>
  <c r="EJ29" i="17"/>
  <c r="EJ31" i="17" s="1"/>
  <c r="EJ14" i="17"/>
  <c r="FB27" i="17"/>
  <c r="DZ24" i="17"/>
  <c r="EU24" i="17" s="1"/>
  <c r="EA10" i="17"/>
  <c r="EU7" i="17"/>
  <c r="FA22" i="17"/>
  <c r="EZ22" i="17"/>
  <c r="H36" i="21"/>
  <c r="EI29" i="17"/>
  <c r="EI31" i="17" s="1"/>
  <c r="EI14" i="17"/>
  <c r="DZ12" i="17"/>
  <c r="DZ13" i="17"/>
  <c r="DZ29" i="17" l="1"/>
  <c r="DZ14" i="17"/>
  <c r="EA12" i="17"/>
  <c r="DZ26" i="17"/>
  <c r="DZ11" i="17"/>
  <c r="EA13" i="17"/>
  <c r="EA30" i="17" s="1"/>
  <c r="DZ27" i="17"/>
  <c r="EU10" i="17"/>
  <c r="FA8" i="17"/>
  <c r="EZ8" i="17"/>
  <c r="EZ7" i="17"/>
  <c r="FA7" i="17"/>
  <c r="EZ6" i="17"/>
  <c r="FA6" i="17"/>
  <c r="DZ30" i="17"/>
  <c r="EV10" i="17"/>
  <c r="EA27" i="17"/>
  <c r="EV27" i="17" s="1"/>
  <c r="EB13" i="17"/>
  <c r="EU9" i="17"/>
  <c r="EB12" i="17"/>
  <c r="EA26" i="17"/>
  <c r="EA11" i="17"/>
  <c r="EV11" i="17" s="1"/>
  <c r="EV9" i="17"/>
  <c r="EZ24" i="17"/>
  <c r="FA24" i="17"/>
  <c r="DZ25" i="17"/>
  <c r="EU25" i="17" s="1"/>
  <c r="EU23" i="17"/>
  <c r="EU27" i="17" l="1"/>
  <c r="EA28" i="17"/>
  <c r="EV28" i="17" s="1"/>
  <c r="EV26" i="17"/>
  <c r="EB29" i="17"/>
  <c r="EW12" i="17"/>
  <c r="EB14" i="17"/>
  <c r="EW14" i="17" s="1"/>
  <c r="EZ9" i="17"/>
  <c r="FA9" i="17"/>
  <c r="EZ10" i="17"/>
  <c r="FA10" i="17"/>
  <c r="FA27" i="17"/>
  <c r="EZ27" i="17"/>
  <c r="EU11" i="17"/>
  <c r="EZ23" i="17"/>
  <c r="FA23" i="17"/>
  <c r="EU13" i="17"/>
  <c r="DZ28" i="17"/>
  <c r="EU26" i="17"/>
  <c r="EV13" i="17"/>
  <c r="EW13" i="17"/>
  <c r="EB30" i="17"/>
  <c r="EW30" i="17" s="1"/>
  <c r="H37" i="21"/>
  <c r="EZ25" i="17"/>
  <c r="FA25" i="17"/>
  <c r="EA29" i="17"/>
  <c r="EA14" i="17"/>
  <c r="EV12" i="17"/>
  <c r="EU12" i="17"/>
  <c r="DZ31" i="17"/>
  <c r="EU28" i="17" l="1"/>
  <c r="EV30" i="17"/>
  <c r="EU14" i="17"/>
  <c r="FA14" i="17" s="1"/>
  <c r="EU29" i="17"/>
  <c r="EZ29" i="17" s="1"/>
  <c r="FA26" i="17"/>
  <c r="EZ26" i="17"/>
  <c r="FA12" i="17"/>
  <c r="EZ12" i="17"/>
  <c r="H38" i="21"/>
  <c r="FA28" i="17"/>
  <c r="EZ28" i="17"/>
  <c r="EU30" i="17"/>
  <c r="FA13" i="17"/>
  <c r="EZ13" i="17"/>
  <c r="EB31" i="17"/>
  <c r="EW31" i="17" s="1"/>
  <c r="EW29" i="17"/>
  <c r="EV14" i="17"/>
  <c r="EA31" i="17"/>
  <c r="EV29" i="17"/>
  <c r="EZ11" i="17"/>
  <c r="FA11" i="17"/>
  <c r="FA29" i="17" l="1"/>
  <c r="EZ14" i="17"/>
  <c r="EV31" i="17"/>
  <c r="EU31" i="17"/>
  <c r="EZ30" i="17"/>
  <c r="FA30" i="17"/>
  <c r="EZ31" i="17" l="1"/>
  <c r="H39" i="21"/>
  <c r="FA31" i="17"/>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<sst xmlns="http://schemas.openxmlformats.org/spreadsheetml/2006/main" count="1357" uniqueCount="444">
  <si>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</si>
  <si>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</si>
  <si>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</si>
  <si>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</si>
  <si>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</si>
  <si>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</si>
  <si>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</si>
  <si>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</si>
  <si>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</si>
  <si>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</si>
  <si>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</si>
  <si>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</si>
  <si>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</si>
  <si>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</si>
  <si>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</si>
  <si>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</si>
  <si>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</si>
  <si>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</si>
  <si>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</si>
  <si>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</si>
  <si>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</si>
  <si>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</si>
  <si>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</si>
  <si>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</si>
  <si>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</si>
  <si>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</si>
  <si>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</si>
  <si>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</si>
  <si>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</si>
  <si>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</si>
  <si>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</si>
  <si>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</si>
  <si>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</si>
  <si>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</si>
  <si>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</si>
  <si>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</si>
  <si>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</si>
  <si>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</si>
  <si>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</si>
  <si>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</si>
  <si>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</si>
  <si>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</si>
  <si>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</si>
  <si>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</si>
  <si>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</si>
  <si>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</si>
  <si>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</si>
  <si>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</si>
  <si>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</si>
  <si>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</si>
  <si>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</si>
  <si>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</si>
  <si>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</si>
  <si>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</si>
  <si>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</si>
  <si>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</si>
  <si>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</si>
  <si>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</si>
  <si>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</si>
  <si>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</si>
  <si>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</si>
  <si>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</si>
  <si>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</si>
  <si>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</si>
  <si>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</si>
  <si>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</si>
  <si>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</si>
  <si>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</si>
  <si>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</si>
  <si>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</si>
  <si>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</si>
  <si>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</si>
  <si>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</si>
  <si>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</si>
  <si>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</si>
  <si>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</si>
  <si>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</si>
  <si>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</si>
  <si>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</si>
  <si>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</si>
  <si>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</si>
  <si>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</si>
  <si>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</si>
  <si>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</si>
  <si>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</si>
  <si>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</si>
  <si>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</si>
  <si>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</si>
  <si>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</si>
  <si>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</si>
  <si>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</si>
  <si>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</si>
  <si>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</si>
  <si>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</si>
  <si>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</si>
  <si>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</si>
  <si>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</si>
  <si>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</si>
  <si>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</si>
  <si>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</si>
  <si>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</si>
  <si>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</si>
  <si>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</si>
  <si>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</si>
  <si>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</si>
  <si>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</si>
  <si>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</si>
  <si>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</si>
  <si>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</si>
  <si>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</si>
  <si>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</si>
  <si>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</si>
  <si>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</si>
  <si>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</si>
  <si>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</si>
  <si>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</si>
  <si>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</si>
  <si>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</si>
  <si>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</si>
  <si>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</si>
  <si>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</si>
  <si>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</si>
  <si>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</si>
  <si>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</si>
  <si>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</si>
  <si>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</si>
  <si>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</si>
  <si>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</si>
  <si>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</si>
  <si>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</si>
  <si>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</si>
  <si>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</si>
  <si>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</si>
  <si>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</si>
  <si>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</si>
  <si>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</si>
  <si>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</si>
  <si>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</si>
  <si>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</si>
  <si>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</si>
  <si>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</si>
  <si>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</si>
  <si>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</si>
  <si>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</si>
  <si>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</si>
  <si>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</si>
  <si>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</si>
  <si>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</si>
  <si>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</si>
  <si>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</si>
  <si>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</si>
  <si>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</si>
  <si>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</si>
  <si>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</si>
  <si>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</si>
  <si>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</si>
  <si>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</si>
  <si>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</si>
  <si>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</si>
  <si>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</si>
  <si>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</si>
  <si>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</si>
  <si>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</si>
  <si>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</si>
  <si>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</si>
  <si>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</si>
  <si>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</si>
  <si>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</si>
  <si>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</si>
  <si>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</si>
  <si>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</si>
  <si>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</si>
  <si>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</si>
  <si>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</si>
  <si>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</si>
  <si>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</si>
  <si>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</si>
  <si>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</si>
  <si>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</si>
  <si>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</si>
  <si>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</si>
  <si>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</si>
  <si>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</si>
  <si>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</si>
  <si>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</si>
  <si>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</si>
  <si>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</si>
  <si>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</si>
  <si>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</si>
  <si>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</si>
  <si>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</si>
  <si>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</si>
  <si>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</si>
  <si>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</si>
  <si>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</si>
  <si>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</si>
  <si>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</si>
  <si>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</si>
  <si>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</si>
  <si>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</si>
  <si>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</si>
  <si>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</si>
  <si>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</si>
  <si>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</si>
  <si>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</si>
  <si>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</si>
  <si>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</si>
  <si>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</si>
  <si>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</si>
  <si>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</si>
  <si>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</si>
  <si>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</si>
  <si>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</si>
  <si>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</si>
  <si>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</si>
  <si>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</si>
  <si>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</si>
  <si>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</si>
  <si>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</si>
  <si>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</si>
  <si>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</si>
  <si>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</si>
  <si>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</si>
  <si>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</si>
  <si>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</si>
  <si>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</si>
  <si>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</si>
  <si>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</si>
  <si>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</si>
  <si>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</si>
  <si>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</si>
  <si>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</si>
  <si>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</si>
  <si>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</si>
  <si>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</si>
  <si>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</si>
  <si>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</si>
  <si>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</si>
  <si>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</si>
  <si>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</si>
  <si>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</si>
  <si>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</si>
  <si>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</si>
  <si>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</si>
  <si>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</si>
  <si>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</si>
  <si>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</si>
  <si>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</si>
  <si>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</si>
  <si>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</si>
  <si>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</si>
  <si>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</si>
  <si>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</si>
  <si>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</si>
  <si>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</si>
  <si>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</si>
  <si>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</si>
  <si>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</si>
  <si>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</si>
  <si>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</si>
  <si>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</si>
  <si>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</si>
  <si>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</si>
  <si>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</si>
  <si>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</si>
  <si>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</si>
  <si>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</si>
  <si>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</si>
  <si>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</si>
  <si>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</si>
  <si>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</si>
  <si>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</si>
  <si>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</si>
  <si>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</si>
  <si>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</si>
  <si>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</si>
  <si>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</si>
  <si>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</si>
  <si>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</si>
  <si>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</si>
  <si>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</si>
  <si>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</si>
  <si>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</si>
  <si>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</si>
  <si>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</si>
  <si>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</si>
  <si>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</si>
  <si>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</si>
  <si>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</si>
  <si>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</si>
  <si>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</si>
  <si>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</si>
  <si>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</si>
  <si>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</si>
  <si>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</si>
  <si>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</si>
  <si>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</si>
  <si>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</si>
  <si>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</si>
  <si>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</si>
  <si>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</si>
  <si>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</si>
  <si>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</si>
  <si>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</si>
  <si>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</si>
  <si>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</si>
  <si>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</si>
  <si>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</si>
  <si>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</si>
  <si>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</si>
  <si>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</si>
  <si>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</si>
  <si>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</si>
  <si>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</si>
  <si>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</si>
  <si>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</si>
  <si>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</si>
  <si>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</si>
  <si>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</si>
  <si>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</si>
  <si>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</si>
  <si>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</si>
  <si>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</si>
  <si>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</si>
  <si>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</si>
  <si>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</si>
  <si>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</si>
  <si>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</si>
  <si>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</si>
  <si>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</si>
  <si>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</si>
  <si>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</si>
  <si>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</si>
  <si>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</si>
  <si>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</si>
  <si>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</si>
  <si>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</si>
  <si>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</si>
  <si>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</si>
  <si>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</si>
  <si>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</si>
  <si>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</si>
  <si>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</si>
  <si>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</si>
  <si>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</si>
  <si>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</si>
  <si>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</si>
  <si>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</si>
  <si>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</si>
  <si>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</si>
  <si>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</si>
  <si>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</si>
  <si>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</si>
  <si>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</si>
  <si>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</si>
  <si>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</si>
  <si>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</si>
  <si>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</si>
  <si>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</si>
  <si>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</si>
  <si>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</si>
  <si>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</si>
  <si>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</si>
  <si>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</si>
  <si>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</si>
  <si>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</si>
  <si>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</si>
  <si>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</si>
  <si>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</si>
  <si>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</si>
  <si>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</si>
  <si>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</si>
  <si>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</si>
  <si>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</si>
  <si>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</si>
  <si>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</si>
  <si>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</si>
  <si>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</si>
  <si>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</si>
  <si>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</si>
  <si>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</si>
  <si>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</si>
  <si>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</si>
  <si>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</si>
  <si>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</si>
  <si>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</si>
  <si>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</si>
  <si>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</si>
  <si>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</si>
  <si>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</si>
  <si>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</si>
  <si>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</si>
  <si>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</si>
  <si>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</si>
  <si>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</si>
  <si>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</si>
  <si>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</si>
  <si>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</si>
  <si>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</si>
  <si>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</si>
  <si>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</si>
  <si>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</si>
  <si>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</si>
  <si>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</si>
  <si>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</si>
  <si>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</si>
  <si>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</si>
  <si>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</si>
  <si>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</si>
  <si>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</si>
  <si>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</si>
  <si>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</si>
  <si>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</si>
  <si>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</si>
  <si>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</si>
  <si>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</si>
  <si>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</si>
  <si>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</si>
  <si>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</si>
  <si>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</si>
  <si>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</si>
  <si>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</si>
  <si>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</si>
  <si>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</si>
  <si>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</si>
  <si>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</si>
  <si>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</si>
  <si>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</si>
  <si>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</si>
  <si>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45382_6</t>
  </si>
  <si>
    <t>45382_6</t>
    <phoneticPr fontId="2"/>
  </si>
  <si>
    <t>45382_1</t>
  </si>
  <si>
    <t>国富町</t>
    <rPh sb="0" eb="2">
      <t>クニトミ</t>
    </rPh>
    <rPh sb="2" eb="3">
      <t>チョウ</t>
    </rPh>
    <phoneticPr fontId="1"/>
  </si>
  <si>
    <t>本庄小学校区</t>
  </si>
  <si>
    <t>45382_2</t>
  </si>
  <si>
    <t>森永小学校区</t>
  </si>
  <si>
    <t>45382_3</t>
  </si>
  <si>
    <t>旧八代小学校区</t>
  </si>
  <si>
    <t>45382_4</t>
  </si>
  <si>
    <t>旧北俣小学校区</t>
  </si>
  <si>
    <t>45382_5</t>
  </si>
  <si>
    <t>旧深年小学校区</t>
  </si>
  <si>
    <t>木脇小学校区</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</si>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</sst>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307</c:v>
                </c:pt>
                <c:pt idx="1">
                  <c:v>301</c:v>
                </c:pt>
                <c:pt idx="2">
                  <c:v>296</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5973896"/>
        <c:axId val="392048608"/>
      </c:barChart>
      <c:catAx>
        <c:axId val="385973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048608"/>
        <c:crosses val="autoZero"/>
        <c:auto val="1"/>
        <c:lblAlgn val="ctr"/>
        <c:lblOffset val="100"/>
        <c:noMultiLvlLbl val="0"/>
      </c:catAx>
      <c:valAx>
        <c:axId val="3920486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9738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164</c:v>
                </c:pt>
                <c:pt idx="1">
                  <c:v>149</c:v>
                </c:pt>
                <c:pt idx="2">
                  <c:v>145</c:v>
                </c:pt>
                <c:pt idx="3">
                  <c:v>146</c:v>
                </c:pt>
                <c:pt idx="4">
                  <c:v>131</c:v>
                </c:pt>
                <c:pt idx="5">
                  <c:v>106</c:v>
                </c:pt>
                <c:pt idx="6">
                  <c:v>88</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3492832"/>
        <c:axId val="393493616"/>
      </c:barChart>
      <c:catAx>
        <c:axId val="393492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93616"/>
        <c:crosses val="autoZero"/>
        <c:auto val="1"/>
        <c:lblAlgn val="ctr"/>
        <c:lblOffset val="100"/>
        <c:noMultiLvlLbl val="0"/>
      </c:catAx>
      <c:valAx>
        <c:axId val="3934936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928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0.28000000000000003</c:v>
                </c:pt>
                <c:pt idx="1">
                  <c:v>0.33</c:v>
                </c:pt>
                <c:pt idx="2">
                  <c:v>0.38</c:v>
                </c:pt>
                <c:pt idx="3">
                  <c:v>0.41</c:v>
                </c:pt>
                <c:pt idx="4">
                  <c:v>0.43</c:v>
                </c:pt>
                <c:pt idx="5">
                  <c:v>0.44</c:v>
                </c:pt>
                <c:pt idx="6">
                  <c:v>0.45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3494400"/>
        <c:axId val="393494792"/>
      </c:barChart>
      <c:catAx>
        <c:axId val="393494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94792"/>
        <c:crosses val="autoZero"/>
        <c:auto val="1"/>
        <c:lblAlgn val="ctr"/>
        <c:lblOffset val="100"/>
        <c:noMultiLvlLbl val="0"/>
      </c:catAx>
      <c:valAx>
        <c:axId val="3934947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944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0.16</c:v>
                </c:pt>
                <c:pt idx="1">
                  <c:v>0.19</c:v>
                </c:pt>
                <c:pt idx="2">
                  <c:v>0.2</c:v>
                </c:pt>
                <c:pt idx="3">
                  <c:v>0.23</c:v>
                </c:pt>
                <c:pt idx="4">
                  <c:v>0.28000000000000003</c:v>
                </c:pt>
                <c:pt idx="5">
                  <c:v>0.31</c:v>
                </c:pt>
                <c:pt idx="6">
                  <c:v>0.32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2049000"/>
        <c:axId val="392049784"/>
      </c:barChart>
      <c:catAx>
        <c:axId val="392049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049784"/>
        <c:crosses val="autoZero"/>
        <c:auto val="1"/>
        <c:lblAlgn val="ctr"/>
        <c:lblOffset val="100"/>
        <c:noMultiLvlLbl val="0"/>
      </c:catAx>
      <c:valAx>
        <c:axId val="3920497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0490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2.1730974234373227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840-4578-A0F4-F46D5A9503DA}"/>
                </c:ext>
                <c:ext xmlns:c15="http://schemas.microsoft.com/office/drawing/2012/chart" uri="{CE6537A1-D6FC-4f65-9D91-7224C49458BB}"/>
              </c:extLst>
            </c:dLbl>
            <c:dLbl>
              <c:idx val="20"/>
              <c:layout>
                <c:manualLayout>
                  <c:x val="-1.9435039151509989E-3"/>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840-4578-A0F4-F46D5A9503D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62</c:v>
                </c:pt>
                <c:pt idx="1">
                  <c:v>86</c:v>
                </c:pt>
                <c:pt idx="2">
                  <c:v>111</c:v>
                </c:pt>
                <c:pt idx="3">
                  <c:v>110</c:v>
                </c:pt>
                <c:pt idx="4">
                  <c:v>65</c:v>
                </c:pt>
                <c:pt idx="5">
                  <c:v>76</c:v>
                </c:pt>
                <c:pt idx="6">
                  <c:v>73</c:v>
                </c:pt>
                <c:pt idx="7">
                  <c:v>99</c:v>
                </c:pt>
                <c:pt idx="8">
                  <c:v>130</c:v>
                </c:pt>
                <c:pt idx="9">
                  <c:v>161</c:v>
                </c:pt>
                <c:pt idx="10">
                  <c:v>147</c:v>
                </c:pt>
                <c:pt idx="11">
                  <c:v>144</c:v>
                </c:pt>
                <c:pt idx="12">
                  <c:v>138</c:v>
                </c:pt>
                <c:pt idx="13">
                  <c:v>149</c:v>
                </c:pt>
                <c:pt idx="14">
                  <c:v>200</c:v>
                </c:pt>
                <c:pt idx="15">
                  <c:v>201</c:v>
                </c:pt>
                <c:pt idx="16">
                  <c:v>170</c:v>
                </c:pt>
                <c:pt idx="17">
                  <c:v>77</c:v>
                </c:pt>
                <c:pt idx="18">
                  <c:v>38</c:v>
                </c:pt>
                <c:pt idx="19">
                  <c:v>12</c:v>
                </c:pt>
                <c:pt idx="20">
                  <c:v>2</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3940120"/>
        <c:axId val="45394521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58</c:v>
                </c:pt>
                <c:pt idx="1">
                  <c:v>78</c:v>
                </c:pt>
                <c:pt idx="2">
                  <c:v>105</c:v>
                </c:pt>
                <c:pt idx="3">
                  <c:v>111</c:v>
                </c:pt>
                <c:pt idx="4">
                  <c:v>83</c:v>
                </c:pt>
                <c:pt idx="5">
                  <c:v>65</c:v>
                </c:pt>
                <c:pt idx="6">
                  <c:v>56</c:v>
                </c:pt>
                <c:pt idx="7">
                  <c:v>88</c:v>
                </c:pt>
                <c:pt idx="8">
                  <c:v>128</c:v>
                </c:pt>
                <c:pt idx="9">
                  <c:v>161</c:v>
                </c:pt>
                <c:pt idx="10">
                  <c:v>165</c:v>
                </c:pt>
                <c:pt idx="11">
                  <c:v>144</c:v>
                </c:pt>
                <c:pt idx="12">
                  <c:v>149</c:v>
                </c:pt>
                <c:pt idx="13">
                  <c:v>167</c:v>
                </c:pt>
                <c:pt idx="14">
                  <c:v>233</c:v>
                </c:pt>
                <c:pt idx="15">
                  <c:v>255</c:v>
                </c:pt>
                <c:pt idx="16">
                  <c:v>231</c:v>
                </c:pt>
                <c:pt idx="17">
                  <c:v>173</c:v>
                </c:pt>
                <c:pt idx="18">
                  <c:v>127</c:v>
                </c:pt>
                <c:pt idx="19">
                  <c:v>64</c:v>
                </c:pt>
                <c:pt idx="20">
                  <c:v>11</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3940904"/>
        <c:axId val="453945608"/>
      </c:barChart>
      <c:catAx>
        <c:axId val="4539401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45216"/>
        <c:crosses val="autoZero"/>
        <c:auto val="1"/>
        <c:lblAlgn val="ctr"/>
        <c:lblOffset val="100"/>
        <c:noMultiLvlLbl val="0"/>
      </c:catAx>
      <c:valAx>
        <c:axId val="45394521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40120"/>
        <c:crosses val="autoZero"/>
        <c:crossBetween val="between"/>
        <c:majorUnit val="150"/>
      </c:valAx>
      <c:valAx>
        <c:axId val="45394560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40904"/>
        <c:crosses val="max"/>
        <c:crossBetween val="between"/>
        <c:majorUnit val="150"/>
      </c:valAx>
      <c:catAx>
        <c:axId val="453940904"/>
        <c:scaling>
          <c:orientation val="minMax"/>
        </c:scaling>
        <c:delete val="1"/>
        <c:axPos val="l"/>
        <c:numFmt formatCode="General" sourceLinked="1"/>
        <c:majorTickMark val="out"/>
        <c:minorTickMark val="none"/>
        <c:tickLblPos val="nextTo"/>
        <c:crossAx val="4539456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333-44FD-B66B-7004C32E9B8D}"/>
                </c:ext>
                <c:ext xmlns:c15="http://schemas.microsoft.com/office/drawing/2012/chart" uri="{CE6537A1-D6FC-4f65-9D91-7224C49458BB}"/>
              </c:extLst>
            </c:dLbl>
            <c:dLbl>
              <c:idx val="20"/>
              <c:layout>
                <c:manualLayout>
                  <c:x val="1.3481254558966346E-3"/>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333-44FD-B66B-7004C32E9B8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56</c:v>
                </c:pt>
                <c:pt idx="1">
                  <c:v>68</c:v>
                </c:pt>
                <c:pt idx="2">
                  <c:v>75</c:v>
                </c:pt>
                <c:pt idx="3">
                  <c:v>74</c:v>
                </c:pt>
                <c:pt idx="4">
                  <c:v>62</c:v>
                </c:pt>
                <c:pt idx="5">
                  <c:v>67</c:v>
                </c:pt>
                <c:pt idx="6">
                  <c:v>62</c:v>
                </c:pt>
                <c:pt idx="7">
                  <c:v>81</c:v>
                </c:pt>
                <c:pt idx="8">
                  <c:v>76</c:v>
                </c:pt>
                <c:pt idx="9">
                  <c:v>102</c:v>
                </c:pt>
                <c:pt idx="10">
                  <c:v>135</c:v>
                </c:pt>
                <c:pt idx="11">
                  <c:v>157</c:v>
                </c:pt>
                <c:pt idx="12">
                  <c:v>142</c:v>
                </c:pt>
                <c:pt idx="13">
                  <c:v>135</c:v>
                </c:pt>
                <c:pt idx="14">
                  <c:v>122</c:v>
                </c:pt>
                <c:pt idx="15">
                  <c:v>121</c:v>
                </c:pt>
                <c:pt idx="16">
                  <c:v>144</c:v>
                </c:pt>
                <c:pt idx="17">
                  <c:v>124</c:v>
                </c:pt>
                <c:pt idx="18">
                  <c:v>59</c:v>
                </c:pt>
                <c:pt idx="19">
                  <c:v>10</c:v>
                </c:pt>
                <c:pt idx="20">
                  <c:v>2</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3944040"/>
        <c:axId val="45394443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53</c:v>
                </c:pt>
                <c:pt idx="1">
                  <c:v>61</c:v>
                </c:pt>
                <c:pt idx="2">
                  <c:v>71</c:v>
                </c:pt>
                <c:pt idx="3">
                  <c:v>74</c:v>
                </c:pt>
                <c:pt idx="4">
                  <c:v>66</c:v>
                </c:pt>
                <c:pt idx="5">
                  <c:v>69</c:v>
                </c:pt>
                <c:pt idx="6">
                  <c:v>67</c:v>
                </c:pt>
                <c:pt idx="7">
                  <c:v>64</c:v>
                </c:pt>
                <c:pt idx="8">
                  <c:v>60</c:v>
                </c:pt>
                <c:pt idx="9">
                  <c:v>92</c:v>
                </c:pt>
                <c:pt idx="10">
                  <c:v>125</c:v>
                </c:pt>
                <c:pt idx="11">
                  <c:v>154</c:v>
                </c:pt>
                <c:pt idx="12">
                  <c:v>162</c:v>
                </c:pt>
                <c:pt idx="13">
                  <c:v>140</c:v>
                </c:pt>
                <c:pt idx="14">
                  <c:v>143</c:v>
                </c:pt>
                <c:pt idx="15">
                  <c:v>156</c:v>
                </c:pt>
                <c:pt idx="16">
                  <c:v>223</c:v>
                </c:pt>
                <c:pt idx="17">
                  <c:v>252</c:v>
                </c:pt>
                <c:pt idx="18">
                  <c:v>160</c:v>
                </c:pt>
                <c:pt idx="19">
                  <c:v>57</c:v>
                </c:pt>
                <c:pt idx="20">
                  <c:v>12</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3939336"/>
        <c:axId val="453938944"/>
      </c:barChart>
      <c:catAx>
        <c:axId val="4539440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44432"/>
        <c:crosses val="autoZero"/>
        <c:auto val="1"/>
        <c:lblAlgn val="ctr"/>
        <c:lblOffset val="100"/>
        <c:noMultiLvlLbl val="0"/>
      </c:catAx>
      <c:valAx>
        <c:axId val="45394443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44040"/>
        <c:crosses val="autoZero"/>
        <c:crossBetween val="between"/>
        <c:majorUnit val="150"/>
      </c:valAx>
      <c:valAx>
        <c:axId val="45393894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39336"/>
        <c:crosses val="max"/>
        <c:crossBetween val="between"/>
        <c:majorUnit val="150"/>
      </c:valAx>
      <c:catAx>
        <c:axId val="453939336"/>
        <c:scaling>
          <c:orientation val="minMax"/>
        </c:scaling>
        <c:delete val="1"/>
        <c:axPos val="l"/>
        <c:numFmt formatCode="General" sourceLinked="1"/>
        <c:majorTickMark val="out"/>
        <c:minorTickMark val="none"/>
        <c:tickLblPos val="nextTo"/>
        <c:crossAx val="4539389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6018</c:v>
                </c:pt>
                <c:pt idx="1">
                  <c:v>5805</c:v>
                </c:pt>
                <c:pt idx="2">
                  <c:v>5575</c:v>
                </c:pt>
                <c:pt idx="3">
                  <c:v>5259</c:v>
                </c:pt>
                <c:pt idx="4">
                  <c:v>4903</c:v>
                </c:pt>
                <c:pt idx="5">
                  <c:v>4522</c:v>
                </c:pt>
                <c:pt idx="6">
                  <c:v>4135</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12D-4243-83A6-0C91BB1AF96B}"/>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12D-4243-83A6-0C91BB1AF96B}"/>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312D-4243-83A6-0C91BB1AF96B}"/>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312D-4243-83A6-0C91BB1AF96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5268</c:v>
                </c:pt>
                <c:pt idx="4" formatCode="#,##0_);[Red]\(#,##0\)">
                  <c:v>4923</c:v>
                </c:pt>
                <c:pt idx="5" formatCode="#,##0_);[Red]\(#,##0\)">
                  <c:v>4554</c:v>
                </c:pt>
                <c:pt idx="6" formatCode="#,##0_);[Red]\(#,##0\)">
                  <c:v>4179</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3944824"/>
        <c:axId val="453938160"/>
      </c:barChart>
      <c:catAx>
        <c:axId val="453944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38160"/>
        <c:crosses val="autoZero"/>
        <c:auto val="1"/>
        <c:lblAlgn val="ctr"/>
        <c:lblOffset val="100"/>
        <c:noMultiLvlLbl val="0"/>
      </c:catAx>
      <c:valAx>
        <c:axId val="4539381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4482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307</c:v>
                </c:pt>
                <c:pt idx="1">
                  <c:v>301</c:v>
                </c:pt>
                <c:pt idx="2">
                  <c:v>296</c:v>
                </c:pt>
                <c:pt idx="3">
                  <c:v>278</c:v>
                </c:pt>
                <c:pt idx="4">
                  <c:v>228</c:v>
                </c:pt>
                <c:pt idx="5">
                  <c:v>187</c:v>
                </c:pt>
                <c:pt idx="6">
                  <c:v>165</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279</c:v>
                </c:pt>
                <c:pt idx="4">
                  <c:v>231</c:v>
                </c:pt>
                <c:pt idx="5">
                  <c:v>192</c:v>
                </c:pt>
                <c:pt idx="6">
                  <c:v>173</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3942472"/>
        <c:axId val="453938552"/>
      </c:barChart>
      <c:catAx>
        <c:axId val="453942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38552"/>
        <c:crosses val="autoZero"/>
        <c:auto val="1"/>
        <c:lblAlgn val="ctr"/>
        <c:lblOffset val="100"/>
        <c:noMultiLvlLbl val="0"/>
      </c:catAx>
      <c:valAx>
        <c:axId val="4539385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4247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0.28000000000000003</c:v>
                </c:pt>
                <c:pt idx="1">
                  <c:v>0.33</c:v>
                </c:pt>
                <c:pt idx="2">
                  <c:v>0.38</c:v>
                </c:pt>
                <c:pt idx="3">
                  <c:v>0.41</c:v>
                </c:pt>
                <c:pt idx="4">
                  <c:v>0.43</c:v>
                </c:pt>
                <c:pt idx="5">
                  <c:v>0.44</c:v>
                </c:pt>
                <c:pt idx="6">
                  <c:v>0.45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CF9-4FD8-809A-FBE71638338D}"/>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CF9-4FD8-809A-FBE71638338D}"/>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CF9-4FD8-809A-FBE71638338D}"/>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CF9-4FD8-809A-FBE71638338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0.41</c:v>
                </c:pt>
                <c:pt idx="4" formatCode="0%">
                  <c:v>0.43</c:v>
                </c:pt>
                <c:pt idx="5" formatCode="0%">
                  <c:v>0.44</c:v>
                </c:pt>
                <c:pt idx="6" formatCode="0%">
                  <c:v>0.45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3940512"/>
        <c:axId val="453941296"/>
      </c:barChart>
      <c:catAx>
        <c:axId val="453940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41296"/>
        <c:crosses val="autoZero"/>
        <c:auto val="1"/>
        <c:lblAlgn val="ctr"/>
        <c:lblOffset val="100"/>
        <c:noMultiLvlLbl val="0"/>
      </c:catAx>
      <c:valAx>
        <c:axId val="453941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4051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0.16</c:v>
                </c:pt>
                <c:pt idx="1">
                  <c:v>0.19</c:v>
                </c:pt>
                <c:pt idx="2">
                  <c:v>0.2</c:v>
                </c:pt>
                <c:pt idx="3">
                  <c:v>0.23</c:v>
                </c:pt>
                <c:pt idx="4">
                  <c:v>0.28000000000000003</c:v>
                </c:pt>
                <c:pt idx="5">
                  <c:v>0.31</c:v>
                </c:pt>
                <c:pt idx="6">
                  <c:v>0.32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71B-4C0D-8ABA-91FBBF4901FF}"/>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71B-4C0D-8ABA-91FBBF4901FF}"/>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71B-4C0D-8ABA-91FBBF4901FF}"/>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71B-4C0D-8ABA-91FBBF4901F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0.23</c:v>
                </c:pt>
                <c:pt idx="4" formatCode="0%">
                  <c:v>0.28000000000000003</c:v>
                </c:pt>
                <c:pt idx="5" formatCode="0%">
                  <c:v>0.31</c:v>
                </c:pt>
                <c:pt idx="6" formatCode="0%">
                  <c:v>0.32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3942080"/>
        <c:axId val="453712952"/>
      </c:barChart>
      <c:catAx>
        <c:axId val="453942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2952"/>
        <c:crosses val="autoZero"/>
        <c:auto val="1"/>
        <c:lblAlgn val="ctr"/>
        <c:lblOffset val="100"/>
        <c:noMultiLvlLbl val="0"/>
      </c:catAx>
      <c:valAx>
        <c:axId val="4537129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4208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164</c:v>
                </c:pt>
                <c:pt idx="1">
                  <c:v>149</c:v>
                </c:pt>
                <c:pt idx="2">
                  <c:v>145</c:v>
                </c:pt>
                <c:pt idx="3">
                  <c:v>146</c:v>
                </c:pt>
                <c:pt idx="4">
                  <c:v>131</c:v>
                </c:pt>
                <c:pt idx="5">
                  <c:v>106</c:v>
                </c:pt>
                <c:pt idx="6">
                  <c:v>88</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147</c:v>
                </c:pt>
                <c:pt idx="4">
                  <c:v>132</c:v>
                </c:pt>
                <c:pt idx="5">
                  <c:v>108</c:v>
                </c:pt>
                <c:pt idx="6">
                  <c:v>92</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3717264"/>
        <c:axId val="453712168"/>
      </c:barChart>
      <c:catAx>
        <c:axId val="453717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2168"/>
        <c:crosses val="autoZero"/>
        <c:auto val="1"/>
        <c:lblAlgn val="ctr"/>
        <c:lblOffset val="100"/>
        <c:noMultiLvlLbl val="0"/>
      </c:catAx>
      <c:valAx>
        <c:axId val="4537121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7264"/>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164</c:v>
                </c:pt>
                <c:pt idx="1">
                  <c:v>149</c:v>
                </c:pt>
                <c:pt idx="2">
                  <c:v>145</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2050176"/>
        <c:axId val="392046648"/>
      </c:barChart>
      <c:catAx>
        <c:axId val="392050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046648"/>
        <c:crosses val="autoZero"/>
        <c:auto val="1"/>
        <c:lblAlgn val="ctr"/>
        <c:lblOffset val="100"/>
        <c:noMultiLvlLbl val="0"/>
      </c:catAx>
      <c:valAx>
        <c:axId val="3920466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0501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806099838270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47A-45CA-9CE3-9B1E92EAEF7C}"/>
                </c:ext>
                <c:ext xmlns:c15="http://schemas.microsoft.com/office/drawing/2012/chart" uri="{CE6537A1-D6FC-4f65-9D91-7224C49458BB}"/>
              </c:extLst>
            </c:dLbl>
            <c:dLbl>
              <c:idx val="20"/>
              <c:layout>
                <c:manualLayout>
                  <c:x val="-4.8974406370698121E-3"/>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47A-45CA-9CE3-9B1E92EAEF7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64</c:v>
                </c:pt>
                <c:pt idx="1">
                  <c:v>87</c:v>
                </c:pt>
                <c:pt idx="2">
                  <c:v>112</c:v>
                </c:pt>
                <c:pt idx="3">
                  <c:v>111</c:v>
                </c:pt>
                <c:pt idx="4">
                  <c:v>65</c:v>
                </c:pt>
                <c:pt idx="5">
                  <c:v>78</c:v>
                </c:pt>
                <c:pt idx="6">
                  <c:v>75</c:v>
                </c:pt>
                <c:pt idx="7">
                  <c:v>99</c:v>
                </c:pt>
                <c:pt idx="8">
                  <c:v>130</c:v>
                </c:pt>
                <c:pt idx="9">
                  <c:v>161</c:v>
                </c:pt>
                <c:pt idx="10">
                  <c:v>147</c:v>
                </c:pt>
                <c:pt idx="11">
                  <c:v>144</c:v>
                </c:pt>
                <c:pt idx="12">
                  <c:v>138</c:v>
                </c:pt>
                <c:pt idx="13">
                  <c:v>149</c:v>
                </c:pt>
                <c:pt idx="14">
                  <c:v>200</c:v>
                </c:pt>
                <c:pt idx="15">
                  <c:v>201</c:v>
                </c:pt>
                <c:pt idx="16">
                  <c:v>170</c:v>
                </c:pt>
                <c:pt idx="17">
                  <c:v>77</c:v>
                </c:pt>
                <c:pt idx="18">
                  <c:v>38</c:v>
                </c:pt>
                <c:pt idx="19">
                  <c:v>12</c:v>
                </c:pt>
                <c:pt idx="20">
                  <c:v>2</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3715696"/>
        <c:axId val="45371177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60</c:v>
                </c:pt>
                <c:pt idx="1">
                  <c:v>79</c:v>
                </c:pt>
                <c:pt idx="2">
                  <c:v>106</c:v>
                </c:pt>
                <c:pt idx="3">
                  <c:v>112</c:v>
                </c:pt>
                <c:pt idx="4">
                  <c:v>83</c:v>
                </c:pt>
                <c:pt idx="5">
                  <c:v>67</c:v>
                </c:pt>
                <c:pt idx="6">
                  <c:v>58</c:v>
                </c:pt>
                <c:pt idx="7">
                  <c:v>88</c:v>
                </c:pt>
                <c:pt idx="8">
                  <c:v>129</c:v>
                </c:pt>
                <c:pt idx="9">
                  <c:v>162</c:v>
                </c:pt>
                <c:pt idx="10">
                  <c:v>165</c:v>
                </c:pt>
                <c:pt idx="11">
                  <c:v>144</c:v>
                </c:pt>
                <c:pt idx="12">
                  <c:v>149</c:v>
                </c:pt>
                <c:pt idx="13">
                  <c:v>167</c:v>
                </c:pt>
                <c:pt idx="14">
                  <c:v>233</c:v>
                </c:pt>
                <c:pt idx="15">
                  <c:v>255</c:v>
                </c:pt>
                <c:pt idx="16">
                  <c:v>231</c:v>
                </c:pt>
                <c:pt idx="17">
                  <c:v>173</c:v>
                </c:pt>
                <c:pt idx="18">
                  <c:v>127</c:v>
                </c:pt>
                <c:pt idx="19">
                  <c:v>64</c:v>
                </c:pt>
                <c:pt idx="20">
                  <c:v>11</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3713736"/>
        <c:axId val="453713344"/>
      </c:barChart>
      <c:catAx>
        <c:axId val="4537156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1776"/>
        <c:crosses val="autoZero"/>
        <c:auto val="1"/>
        <c:lblAlgn val="ctr"/>
        <c:lblOffset val="100"/>
        <c:noMultiLvlLbl val="0"/>
      </c:catAx>
      <c:valAx>
        <c:axId val="45371177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5696"/>
        <c:crosses val="autoZero"/>
        <c:crossBetween val="between"/>
        <c:majorUnit val="150"/>
      </c:valAx>
      <c:valAx>
        <c:axId val="45371334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3736"/>
        <c:crosses val="max"/>
        <c:crossBetween val="between"/>
        <c:majorUnit val="150"/>
      </c:valAx>
      <c:catAx>
        <c:axId val="453713736"/>
        <c:scaling>
          <c:orientation val="minMax"/>
        </c:scaling>
        <c:delete val="1"/>
        <c:axPos val="l"/>
        <c:numFmt formatCode="General" sourceLinked="1"/>
        <c:majorTickMark val="out"/>
        <c:minorTickMark val="none"/>
        <c:tickLblPos val="nextTo"/>
        <c:crossAx val="4537133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029-435F-9A96-2E87419D654B}"/>
                </c:ext>
                <c:ext xmlns:c15="http://schemas.microsoft.com/office/drawing/2012/chart" uri="{CE6537A1-D6FC-4f65-9D91-7224C49458BB}"/>
              </c:extLst>
            </c:dLbl>
            <c:dLbl>
              <c:idx val="20"/>
              <c:layout>
                <c:manualLayout>
                  <c:x val="-2.655457989263412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029-435F-9A96-2E87419D654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59</c:v>
                </c:pt>
                <c:pt idx="1">
                  <c:v>71</c:v>
                </c:pt>
                <c:pt idx="2">
                  <c:v>78</c:v>
                </c:pt>
                <c:pt idx="3">
                  <c:v>76</c:v>
                </c:pt>
                <c:pt idx="4">
                  <c:v>63</c:v>
                </c:pt>
                <c:pt idx="5">
                  <c:v>70</c:v>
                </c:pt>
                <c:pt idx="6">
                  <c:v>64</c:v>
                </c:pt>
                <c:pt idx="7">
                  <c:v>83</c:v>
                </c:pt>
                <c:pt idx="8">
                  <c:v>78</c:v>
                </c:pt>
                <c:pt idx="9">
                  <c:v>102</c:v>
                </c:pt>
                <c:pt idx="10">
                  <c:v>135</c:v>
                </c:pt>
                <c:pt idx="11">
                  <c:v>157</c:v>
                </c:pt>
                <c:pt idx="12">
                  <c:v>142</c:v>
                </c:pt>
                <c:pt idx="13">
                  <c:v>135</c:v>
                </c:pt>
                <c:pt idx="14">
                  <c:v>122</c:v>
                </c:pt>
                <c:pt idx="15">
                  <c:v>121</c:v>
                </c:pt>
                <c:pt idx="16">
                  <c:v>144</c:v>
                </c:pt>
                <c:pt idx="17">
                  <c:v>124</c:v>
                </c:pt>
                <c:pt idx="18">
                  <c:v>59</c:v>
                </c:pt>
                <c:pt idx="19">
                  <c:v>10</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710600"/>
        <c:axId val="45371804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55</c:v>
                </c:pt>
                <c:pt idx="1">
                  <c:v>64</c:v>
                </c:pt>
                <c:pt idx="2">
                  <c:v>74</c:v>
                </c:pt>
                <c:pt idx="3">
                  <c:v>76</c:v>
                </c:pt>
                <c:pt idx="4">
                  <c:v>67</c:v>
                </c:pt>
                <c:pt idx="5">
                  <c:v>72</c:v>
                </c:pt>
                <c:pt idx="6">
                  <c:v>68</c:v>
                </c:pt>
                <c:pt idx="7">
                  <c:v>66</c:v>
                </c:pt>
                <c:pt idx="8">
                  <c:v>63</c:v>
                </c:pt>
                <c:pt idx="9">
                  <c:v>93</c:v>
                </c:pt>
                <c:pt idx="10">
                  <c:v>126</c:v>
                </c:pt>
                <c:pt idx="11">
                  <c:v>155</c:v>
                </c:pt>
                <c:pt idx="12">
                  <c:v>162</c:v>
                </c:pt>
                <c:pt idx="13">
                  <c:v>140</c:v>
                </c:pt>
                <c:pt idx="14">
                  <c:v>143</c:v>
                </c:pt>
                <c:pt idx="15">
                  <c:v>156</c:v>
                </c:pt>
                <c:pt idx="16">
                  <c:v>223</c:v>
                </c:pt>
                <c:pt idx="17">
                  <c:v>252</c:v>
                </c:pt>
                <c:pt idx="18">
                  <c:v>160</c:v>
                </c:pt>
                <c:pt idx="19">
                  <c:v>57</c:v>
                </c:pt>
                <c:pt idx="20">
                  <c:v>12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710992"/>
        <c:axId val="453717656"/>
      </c:barChart>
      <c:catAx>
        <c:axId val="4537106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8048"/>
        <c:crosses val="autoZero"/>
        <c:auto val="1"/>
        <c:lblAlgn val="ctr"/>
        <c:lblOffset val="100"/>
        <c:noMultiLvlLbl val="0"/>
      </c:catAx>
      <c:valAx>
        <c:axId val="45371804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0600"/>
        <c:crosses val="autoZero"/>
        <c:crossBetween val="between"/>
        <c:majorUnit val="150"/>
      </c:valAx>
      <c:valAx>
        <c:axId val="45371765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0992"/>
        <c:crosses val="max"/>
        <c:crossBetween val="between"/>
        <c:majorUnit val="150"/>
      </c:valAx>
      <c:catAx>
        <c:axId val="453710992"/>
        <c:scaling>
          <c:orientation val="minMax"/>
        </c:scaling>
        <c:delete val="1"/>
        <c:axPos val="l"/>
        <c:numFmt formatCode="General" sourceLinked="1"/>
        <c:majorTickMark val="out"/>
        <c:minorTickMark val="none"/>
        <c:tickLblPos val="nextTo"/>
        <c:crossAx val="4537176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120</c:v>
                </c:pt>
                <c:pt idx="1">
                  <c:v>164</c:v>
                </c:pt>
                <c:pt idx="2">
                  <c:v>216</c:v>
                </c:pt>
                <c:pt idx="3">
                  <c:v>221</c:v>
                </c:pt>
                <c:pt idx="4">
                  <c:v>148</c:v>
                </c:pt>
                <c:pt idx="5">
                  <c:v>141</c:v>
                </c:pt>
                <c:pt idx="6">
                  <c:v>129</c:v>
                </c:pt>
                <c:pt idx="7">
                  <c:v>187</c:v>
                </c:pt>
                <c:pt idx="8">
                  <c:v>258</c:v>
                </c:pt>
                <c:pt idx="9">
                  <c:v>322</c:v>
                </c:pt>
                <c:pt idx="10">
                  <c:v>312</c:v>
                </c:pt>
                <c:pt idx="11">
                  <c:v>288</c:v>
                </c:pt>
                <c:pt idx="12">
                  <c:v>287</c:v>
                </c:pt>
                <c:pt idx="13">
                  <c:v>316</c:v>
                </c:pt>
                <c:pt idx="14">
                  <c:v>433</c:v>
                </c:pt>
                <c:pt idx="15">
                  <c:v>456</c:v>
                </c:pt>
                <c:pt idx="16">
                  <c:v>401</c:v>
                </c:pt>
                <c:pt idx="17">
                  <c:v>250</c:v>
                </c:pt>
                <c:pt idx="18">
                  <c:v>165</c:v>
                </c:pt>
                <c:pt idx="19">
                  <c:v>76</c:v>
                </c:pt>
                <c:pt idx="20">
                  <c:v>13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716088"/>
        <c:axId val="45371412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124</c:v>
                </c:pt>
                <c:pt idx="1">
                  <c:v>166</c:v>
                </c:pt>
                <c:pt idx="2">
                  <c:v>218</c:v>
                </c:pt>
                <c:pt idx="3">
                  <c:v>223</c:v>
                </c:pt>
                <c:pt idx="4">
                  <c:v>148</c:v>
                </c:pt>
                <c:pt idx="5">
                  <c:v>145</c:v>
                </c:pt>
                <c:pt idx="6">
                  <c:v>133</c:v>
                </c:pt>
                <c:pt idx="7">
                  <c:v>187</c:v>
                </c:pt>
                <c:pt idx="8">
                  <c:v>259</c:v>
                </c:pt>
                <c:pt idx="9">
                  <c:v>323</c:v>
                </c:pt>
                <c:pt idx="10">
                  <c:v>312</c:v>
                </c:pt>
                <c:pt idx="11">
                  <c:v>288</c:v>
                </c:pt>
                <c:pt idx="12">
                  <c:v>287</c:v>
                </c:pt>
                <c:pt idx="13">
                  <c:v>316</c:v>
                </c:pt>
                <c:pt idx="14">
                  <c:v>433</c:v>
                </c:pt>
                <c:pt idx="15">
                  <c:v>456</c:v>
                </c:pt>
                <c:pt idx="16">
                  <c:v>401</c:v>
                </c:pt>
                <c:pt idx="17">
                  <c:v>250</c:v>
                </c:pt>
                <c:pt idx="18">
                  <c:v>165</c:v>
                </c:pt>
                <c:pt idx="19">
                  <c:v>76</c:v>
                </c:pt>
                <c:pt idx="20">
                  <c:v>13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716480"/>
        <c:axId val="453714520"/>
      </c:barChart>
      <c:catAx>
        <c:axId val="4537160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4128"/>
        <c:crosses val="autoZero"/>
        <c:auto val="1"/>
        <c:lblAlgn val="ctr"/>
        <c:lblOffset val="100"/>
        <c:noMultiLvlLbl val="0"/>
      </c:catAx>
      <c:valAx>
        <c:axId val="45371412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6088"/>
        <c:crosses val="autoZero"/>
        <c:crossBetween val="between"/>
        <c:majorUnit val="250"/>
      </c:valAx>
      <c:valAx>
        <c:axId val="45371452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16480"/>
        <c:crosses val="max"/>
        <c:crossBetween val="between"/>
        <c:majorUnit val="250"/>
      </c:valAx>
      <c:catAx>
        <c:axId val="453716480"/>
        <c:scaling>
          <c:orientation val="minMax"/>
        </c:scaling>
        <c:delete val="1"/>
        <c:axPos val="l"/>
        <c:numFmt formatCode="General" sourceLinked="1"/>
        <c:majorTickMark val="out"/>
        <c:minorTickMark val="none"/>
        <c:tickLblPos val="nextTo"/>
        <c:crossAx val="45371452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109</c:v>
                </c:pt>
                <c:pt idx="1">
                  <c:v>129</c:v>
                </c:pt>
                <c:pt idx="2">
                  <c:v>146</c:v>
                </c:pt>
                <c:pt idx="3">
                  <c:v>148</c:v>
                </c:pt>
                <c:pt idx="4">
                  <c:v>128</c:v>
                </c:pt>
                <c:pt idx="5">
                  <c:v>136</c:v>
                </c:pt>
                <c:pt idx="6">
                  <c:v>129</c:v>
                </c:pt>
                <c:pt idx="7">
                  <c:v>145</c:v>
                </c:pt>
                <c:pt idx="8">
                  <c:v>136</c:v>
                </c:pt>
                <c:pt idx="9">
                  <c:v>194</c:v>
                </c:pt>
                <c:pt idx="10">
                  <c:v>260</c:v>
                </c:pt>
                <c:pt idx="11">
                  <c:v>311</c:v>
                </c:pt>
                <c:pt idx="12">
                  <c:v>304</c:v>
                </c:pt>
                <c:pt idx="13">
                  <c:v>275</c:v>
                </c:pt>
                <c:pt idx="14">
                  <c:v>265</c:v>
                </c:pt>
                <c:pt idx="15">
                  <c:v>277</c:v>
                </c:pt>
                <c:pt idx="16">
                  <c:v>367</c:v>
                </c:pt>
                <c:pt idx="17">
                  <c:v>376</c:v>
                </c:pt>
                <c:pt idx="18">
                  <c:v>219</c:v>
                </c:pt>
                <c:pt idx="19">
                  <c:v>67</c:v>
                </c:pt>
                <c:pt idx="20">
                  <c:v>14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4432280"/>
        <c:axId val="45443737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114</c:v>
                </c:pt>
                <c:pt idx="1">
                  <c:v>135</c:v>
                </c:pt>
                <c:pt idx="2">
                  <c:v>152</c:v>
                </c:pt>
                <c:pt idx="3">
                  <c:v>152</c:v>
                </c:pt>
                <c:pt idx="4">
                  <c:v>130</c:v>
                </c:pt>
                <c:pt idx="5">
                  <c:v>142</c:v>
                </c:pt>
                <c:pt idx="6">
                  <c:v>132</c:v>
                </c:pt>
                <c:pt idx="7">
                  <c:v>149</c:v>
                </c:pt>
                <c:pt idx="8">
                  <c:v>141</c:v>
                </c:pt>
                <c:pt idx="9">
                  <c:v>195</c:v>
                </c:pt>
                <c:pt idx="10">
                  <c:v>261</c:v>
                </c:pt>
                <c:pt idx="11">
                  <c:v>312</c:v>
                </c:pt>
                <c:pt idx="12">
                  <c:v>304</c:v>
                </c:pt>
                <c:pt idx="13">
                  <c:v>275</c:v>
                </c:pt>
                <c:pt idx="14">
                  <c:v>265</c:v>
                </c:pt>
                <c:pt idx="15">
                  <c:v>277</c:v>
                </c:pt>
                <c:pt idx="16">
                  <c:v>367</c:v>
                </c:pt>
                <c:pt idx="17">
                  <c:v>376</c:v>
                </c:pt>
                <c:pt idx="18">
                  <c:v>219</c:v>
                </c:pt>
                <c:pt idx="19">
                  <c:v>67</c:v>
                </c:pt>
                <c:pt idx="20">
                  <c:v>14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433064"/>
        <c:axId val="454436200"/>
      </c:barChart>
      <c:catAx>
        <c:axId val="4544322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37376"/>
        <c:crosses val="autoZero"/>
        <c:auto val="1"/>
        <c:lblAlgn val="ctr"/>
        <c:lblOffset val="100"/>
        <c:noMultiLvlLbl val="0"/>
      </c:catAx>
      <c:valAx>
        <c:axId val="45443737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32280"/>
        <c:crosses val="autoZero"/>
        <c:crossBetween val="between"/>
        <c:majorUnit val="250"/>
      </c:valAx>
      <c:valAx>
        <c:axId val="45443620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33064"/>
        <c:crosses val="max"/>
        <c:crossBetween val="between"/>
        <c:majorUnit val="250"/>
      </c:valAx>
      <c:catAx>
        <c:axId val="454433064"/>
        <c:scaling>
          <c:orientation val="minMax"/>
        </c:scaling>
        <c:delete val="1"/>
        <c:axPos val="l"/>
        <c:numFmt formatCode="General" sourceLinked="1"/>
        <c:majorTickMark val="out"/>
        <c:minorTickMark val="none"/>
        <c:tickLblPos val="nextTo"/>
        <c:crossAx val="45443620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木脇小学校区</c:v>
                </c:pt>
              </c:strCache>
            </c:strRef>
          </c:cat>
          <c:val>
            <c:numRef>
              <c:f>管理者用地域特徴シート!$H$3:$H$5</c:f>
              <c:numCache>
                <c:formatCode>0.0%</c:formatCode>
                <c:ptCount val="3"/>
                <c:pt idx="0">
                  <c:v>0.46108733927332846</c:v>
                </c:pt>
                <c:pt idx="1">
                  <c:v>0.56187919463087244</c:v>
                </c:pt>
                <c:pt idx="2">
                  <c:v>0.54049875059249075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4435024"/>
        <c:axId val="454434240"/>
      </c:barChart>
      <c:catAx>
        <c:axId val="4544350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34240"/>
        <c:crosses val="autoZero"/>
        <c:auto val="1"/>
        <c:lblAlgn val="ctr"/>
        <c:lblOffset val="100"/>
        <c:noMultiLvlLbl val="0"/>
      </c:catAx>
      <c:valAx>
        <c:axId val="4544342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350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木脇小学校区</c:v>
                </c:pt>
              </c:strCache>
            </c:strRef>
          </c:cat>
          <c:val>
            <c:numRef>
              <c:f>管理者用地域特徴シート!$J$3:$J$5</c:f>
              <c:numCache>
                <c:formatCode>0.0%</c:formatCode>
                <c:ptCount val="3"/>
                <c:pt idx="0">
                  <c:v>0.15075281438403673</c:v>
                </c:pt>
                <c:pt idx="1">
                  <c:v>0.17140939597315435</c:v>
                </c:pt>
                <c:pt idx="2">
                  <c:v>0.16384955568952111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4435416"/>
        <c:axId val="454438160"/>
      </c:barChart>
      <c:catAx>
        <c:axId val="4544354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38160"/>
        <c:crosses val="autoZero"/>
        <c:auto val="1"/>
        <c:lblAlgn val="ctr"/>
        <c:lblOffset val="100"/>
        <c:noMultiLvlLbl val="0"/>
      </c:catAx>
      <c:valAx>
        <c:axId val="4544381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354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木脇小学校区</c:v>
                </c:pt>
              </c:strCache>
            </c:strRef>
          </c:cat>
          <c:val>
            <c:numRef>
              <c:f>管理者用地域特徴シート!$P$3:$P$5</c:f>
              <c:numCache>
                <c:formatCode>0.0%</c:formatCode>
                <c:ptCount val="3"/>
                <c:pt idx="0">
                  <c:v>0.34758352842621743</c:v>
                </c:pt>
                <c:pt idx="1">
                  <c:v>0.29095553864550494</c:v>
                </c:pt>
                <c:pt idx="2">
                  <c:v>0.32785344221357943</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4433848"/>
        <c:axId val="454434632"/>
      </c:barChart>
      <c:catAx>
        <c:axId val="4544338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34632"/>
        <c:crosses val="autoZero"/>
        <c:auto val="1"/>
        <c:lblAlgn val="ctr"/>
        <c:lblOffset val="100"/>
        <c:noMultiLvlLbl val="0"/>
      </c:catAx>
      <c:valAx>
        <c:axId val="4544346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338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木脇小学校区</c:v>
                </c:pt>
              </c:strCache>
            </c:strRef>
          </c:cat>
          <c:val>
            <c:numRef>
              <c:f>管理者用地域特徴シート!$AO$3:$AO$5</c:f>
              <c:numCache>
                <c:formatCode>0.0%</c:formatCode>
                <c:ptCount val="3"/>
                <c:pt idx="0">
                  <c:v>0.5259093009439566</c:v>
                </c:pt>
                <c:pt idx="1">
                  <c:v>0.53609181516158255</c:v>
                </c:pt>
                <c:pt idx="2">
                  <c:v>0.56341063086570431</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4436592"/>
        <c:axId val="454430712"/>
      </c:barChart>
      <c:catAx>
        <c:axId val="4544365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30712"/>
        <c:crosses val="autoZero"/>
        <c:auto val="1"/>
        <c:lblAlgn val="ctr"/>
        <c:lblOffset val="100"/>
        <c:noMultiLvlLbl val="0"/>
      </c:catAx>
      <c:valAx>
        <c:axId val="4544307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365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木脇小学校区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0.13297794761099119</c:v>
                </c:pt>
                <c:pt idx="1">
                  <c:v>5.8339653462458439E-5</c:v>
                </c:pt>
                <c:pt idx="2">
                  <c:v>0</c:v>
                </c:pt>
                <c:pt idx="3">
                  <c:v>0.11965827547984366</c:v>
                </c:pt>
                <c:pt idx="4">
                  <c:v>0.13442914649086984</c:v>
                </c:pt>
                <c:pt idx="5">
                  <c:v>3.1904497987281957E-3</c:v>
                </c:pt>
                <c:pt idx="6">
                  <c:v>8.2076599964996198E-3</c:v>
                </c:pt>
                <c:pt idx="7">
                  <c:v>3.4296423779242753E-2</c:v>
                </c:pt>
                <c:pt idx="8">
                  <c:v>0.13861866285514265</c:v>
                </c:pt>
                <c:pt idx="9">
                  <c:v>1.3443643894755266E-2</c:v>
                </c:pt>
                <c:pt idx="10">
                  <c:v>1.0388104544659006E-2</c:v>
                </c:pt>
                <c:pt idx="11">
                  <c:v>2.0094364389475528E-2</c:v>
                </c:pt>
                <c:pt idx="12">
                  <c:v>3.7731170876844987E-2</c:v>
                </c:pt>
                <c:pt idx="13">
                  <c:v>3.1973776325768623E-2</c:v>
                </c:pt>
                <c:pt idx="14">
                  <c:v>3.0621025611107872E-2</c:v>
                </c:pt>
                <c:pt idx="15">
                  <c:v>0.17574820605565603</c:v>
                </c:pt>
                <c:pt idx="16">
                  <c:v>1.4340616066740563E-2</c:v>
                </c:pt>
                <c:pt idx="17">
                  <c:v>5.5863864418645347E-2</c:v>
                </c:pt>
                <c:pt idx="18">
                  <c:v>3.6604486319351266E-2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国富町平均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0.18755991053360316</c:v>
                </c:pt>
                <c:pt idx="1">
                  <c:v>2.1301523058898708E-4</c:v>
                </c:pt>
                <c:pt idx="2">
                  <c:v>0</c:v>
                </c:pt>
                <c:pt idx="3">
                  <c:v>0.10565555437213761</c:v>
                </c:pt>
                <c:pt idx="4">
                  <c:v>0.12344232612631803</c:v>
                </c:pt>
                <c:pt idx="5">
                  <c:v>2.4496751517733518E-3</c:v>
                </c:pt>
                <c:pt idx="6">
                  <c:v>8.3075939929704978E-3</c:v>
                </c:pt>
                <c:pt idx="7">
                  <c:v>3.5041005431888379E-2</c:v>
                </c:pt>
                <c:pt idx="8">
                  <c:v>0.13047182873575461</c:v>
                </c:pt>
                <c:pt idx="9">
                  <c:v>1.1289807221216317E-2</c:v>
                </c:pt>
                <c:pt idx="10">
                  <c:v>9.0531473000319516E-3</c:v>
                </c:pt>
                <c:pt idx="11">
                  <c:v>1.949089359889232E-2</c:v>
                </c:pt>
                <c:pt idx="12">
                  <c:v>3.2378315049526041E-2</c:v>
                </c:pt>
                <c:pt idx="13">
                  <c:v>3.173926935775908E-2</c:v>
                </c:pt>
                <c:pt idx="14">
                  <c:v>2.9289594205985727E-2</c:v>
                </c:pt>
                <c:pt idx="15">
                  <c:v>0.16881457024177229</c:v>
                </c:pt>
                <c:pt idx="16">
                  <c:v>1.5124081371818084E-2</c:v>
                </c:pt>
                <c:pt idx="17">
                  <c:v>5.6342528490787094E-2</c:v>
                </c:pt>
                <c:pt idx="18">
                  <c:v>3.1100223665992119E-2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4431104"/>
        <c:axId val="454437768"/>
      </c:barChart>
      <c:catAx>
        <c:axId val="454431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37768"/>
        <c:crosses val="autoZero"/>
        <c:auto val="1"/>
        <c:lblAlgn val="ctr"/>
        <c:lblOffset val="100"/>
        <c:noMultiLvlLbl val="0"/>
      </c:catAx>
      <c:valAx>
        <c:axId val="45443776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31104"/>
        <c:crosses val="autoZero"/>
        <c:crossBetween val="between"/>
      </c:valAx>
      <c:spPr>
        <a:noFill/>
        <a:ln>
          <a:noFill/>
        </a:ln>
        <a:effectLst/>
      </c:spPr>
    </c:plotArea>
    <c:legend>
      <c:legendPos val="b"/>
      <c:layout>
        <c:manualLayout>
          <c:xMode val="edge"/>
          <c:yMode val="edge"/>
          <c:x val="0.56271294961369267"/>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木脇小学校区</c:v>
                </c:pt>
              </c:strCache>
            </c:strRef>
          </c:cat>
          <c:val>
            <c:numRef>
              <c:f>管理者用地域特徴シート!$CK$3:$CK$5</c:f>
              <c:numCache>
                <c:formatCode>0.0%</c:formatCode>
                <c:ptCount val="3"/>
                <c:pt idx="0">
                  <c:v>0.82747216160708559</c:v>
                </c:pt>
                <c:pt idx="1">
                  <c:v>0.58366173181382464</c:v>
                </c:pt>
                <c:pt idx="2">
                  <c:v>0.53442768799953333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4901056"/>
        <c:axId val="454905368"/>
      </c:barChart>
      <c:catAx>
        <c:axId val="4549010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05368"/>
        <c:crosses val="autoZero"/>
        <c:auto val="1"/>
        <c:lblAlgn val="ctr"/>
        <c:lblOffset val="100"/>
        <c:noMultiLvlLbl val="0"/>
      </c:catAx>
      <c:valAx>
        <c:axId val="4549053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010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0.28000000000000003</c:v>
                </c:pt>
                <c:pt idx="1">
                  <c:v>0.33</c:v>
                </c:pt>
                <c:pt idx="2">
                  <c:v>0.38</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2044296"/>
        <c:axId val="392045080"/>
      </c:barChart>
      <c:catAx>
        <c:axId val="392044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045080"/>
        <c:crosses val="autoZero"/>
        <c:auto val="1"/>
        <c:lblAlgn val="ctr"/>
        <c:lblOffset val="100"/>
        <c:noMultiLvlLbl val="0"/>
      </c:catAx>
      <c:valAx>
        <c:axId val="3920450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0442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0.16</c:v>
                </c:pt>
                <c:pt idx="1">
                  <c:v>0.19</c:v>
                </c:pt>
                <c:pt idx="2">
                  <c:v>0.2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2046256"/>
        <c:axId val="392047824"/>
      </c:barChart>
      <c:catAx>
        <c:axId val="392046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047824"/>
        <c:crosses val="autoZero"/>
        <c:auto val="1"/>
        <c:lblAlgn val="ctr"/>
        <c:lblOffset val="100"/>
        <c:noMultiLvlLbl val="0"/>
      </c:catAx>
      <c:valAx>
        <c:axId val="3920478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0462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4010556144619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B39-4875-9637-C4691687345F}"/>
                </c:ext>
                <c:ext xmlns:c15="http://schemas.microsoft.com/office/drawing/2012/chart" uri="{CE6537A1-D6FC-4f65-9D91-7224C49458BB}"/>
              </c:extLst>
            </c:dLbl>
            <c:dLbl>
              <c:idx val="20"/>
              <c:layout>
                <c:manualLayout>
                  <c:x val="-6.083006732665556E-3"/>
                  <c:y val="-5.222733117926435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B39-4875-9637-C4691687345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115</c:v>
                </c:pt>
                <c:pt idx="1">
                  <c:v>138</c:v>
                </c:pt>
                <c:pt idx="2">
                  <c:v>138</c:v>
                </c:pt>
                <c:pt idx="3">
                  <c:v>145</c:v>
                </c:pt>
                <c:pt idx="4">
                  <c:v>127</c:v>
                </c:pt>
                <c:pt idx="5">
                  <c:v>145</c:v>
                </c:pt>
                <c:pt idx="6">
                  <c:v>137</c:v>
                </c:pt>
                <c:pt idx="7">
                  <c:v>150</c:v>
                </c:pt>
                <c:pt idx="8">
                  <c:v>136</c:v>
                </c:pt>
                <c:pt idx="9">
                  <c:v>171</c:v>
                </c:pt>
                <c:pt idx="10">
                  <c:v>225</c:v>
                </c:pt>
                <c:pt idx="11">
                  <c:v>259</c:v>
                </c:pt>
                <c:pt idx="12">
                  <c:v>276</c:v>
                </c:pt>
                <c:pt idx="13">
                  <c:v>145</c:v>
                </c:pt>
                <c:pt idx="14">
                  <c:v>160</c:v>
                </c:pt>
                <c:pt idx="15">
                  <c:v>147</c:v>
                </c:pt>
                <c:pt idx="16">
                  <c:v>111</c:v>
                </c:pt>
                <c:pt idx="17">
                  <c:v>34</c:v>
                </c:pt>
                <c:pt idx="18">
                  <c:v>23</c:v>
                </c:pt>
                <c:pt idx="19">
                  <c:v>5</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050960"/>
        <c:axId val="39204468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112</c:v>
                </c:pt>
                <c:pt idx="1">
                  <c:v>105</c:v>
                </c:pt>
                <c:pt idx="2">
                  <c:v>130</c:v>
                </c:pt>
                <c:pt idx="3">
                  <c:v>137</c:v>
                </c:pt>
                <c:pt idx="4">
                  <c:v>132</c:v>
                </c:pt>
                <c:pt idx="5">
                  <c:v>162</c:v>
                </c:pt>
                <c:pt idx="6">
                  <c:v>149</c:v>
                </c:pt>
                <c:pt idx="7">
                  <c:v>151</c:v>
                </c:pt>
                <c:pt idx="8">
                  <c:v>153</c:v>
                </c:pt>
                <c:pt idx="9">
                  <c:v>190</c:v>
                </c:pt>
                <c:pt idx="10">
                  <c:v>233</c:v>
                </c:pt>
                <c:pt idx="11">
                  <c:v>287</c:v>
                </c:pt>
                <c:pt idx="12">
                  <c:v>257</c:v>
                </c:pt>
                <c:pt idx="13">
                  <c:v>190</c:v>
                </c:pt>
                <c:pt idx="14">
                  <c:v>183</c:v>
                </c:pt>
                <c:pt idx="15">
                  <c:v>197</c:v>
                </c:pt>
                <c:pt idx="16">
                  <c:v>185</c:v>
                </c:pt>
                <c:pt idx="17">
                  <c:v>152</c:v>
                </c:pt>
                <c:pt idx="18">
                  <c:v>90</c:v>
                </c:pt>
                <c:pt idx="19">
                  <c:v>27</c:v>
                </c:pt>
                <c:pt idx="20">
                  <c:v>8</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047040"/>
        <c:axId val="392045864"/>
      </c:barChart>
      <c:catAx>
        <c:axId val="3920509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044688"/>
        <c:crosses val="autoZero"/>
        <c:auto val="1"/>
        <c:lblAlgn val="ctr"/>
        <c:lblOffset val="100"/>
        <c:noMultiLvlLbl val="0"/>
      </c:catAx>
      <c:valAx>
        <c:axId val="39204468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050960"/>
        <c:crosses val="autoZero"/>
        <c:crossBetween val="between"/>
        <c:majorUnit val="150"/>
      </c:valAx>
      <c:valAx>
        <c:axId val="39204586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047040"/>
        <c:crosses val="max"/>
        <c:crossBetween val="between"/>
        <c:majorUnit val="150"/>
      </c:valAx>
      <c:catAx>
        <c:axId val="392047040"/>
        <c:scaling>
          <c:orientation val="minMax"/>
        </c:scaling>
        <c:delete val="1"/>
        <c:axPos val="l"/>
        <c:numFmt formatCode="General" sourceLinked="1"/>
        <c:majorTickMark val="out"/>
        <c:minorTickMark val="none"/>
        <c:tickLblPos val="nextTo"/>
        <c:crossAx val="3920458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2788</c:v>
                </c:pt>
                <c:pt idx="1">
                  <c:v>2654</c:v>
                </c:pt>
                <c:pt idx="2">
                  <c:v>2572</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3230</c:v>
                </c:pt>
                <c:pt idx="1">
                  <c:v>3151</c:v>
                </c:pt>
                <c:pt idx="2">
                  <c:v>3003</c:v>
                </c:pt>
              </c:numCache>
            </c:numRef>
          </c:val>
          <c:extLst xmlns:c16r2="http://schemas.microsoft.com/office/drawing/2015/06/chart">
            <c:ext xmlns:c16="http://schemas.microsoft.com/office/drawing/2014/chart" uri="{C3380CC4-5D6E-409C-BE32-E72D297353CC}">
              <c16:uniqueId val="{00000000-86DF-4117-8851-BEAFCC95ACC5}"/>
            </c:ext>
          </c:extLst>
        </c:ser>
        <c:dLbls>
          <c:showLegendKey val="0"/>
          <c:showVal val="0"/>
          <c:showCatName val="0"/>
          <c:showSerName val="0"/>
          <c:showPercent val="0"/>
          <c:showBubbleSize val="0"/>
        </c:dLbls>
        <c:gapWidth val="219"/>
        <c:overlap val="100"/>
        <c:axId val="393495184"/>
        <c:axId val="39349753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7.2063956248209729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6DF-4117-8851-BEAFCC95ACC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6018</c:v>
                </c:pt>
                <c:pt idx="1">
                  <c:v>5805</c:v>
                </c:pt>
                <c:pt idx="2">
                  <c:v>5575</c:v>
                </c:pt>
              </c:numCache>
            </c:numRef>
          </c:val>
          <c:smooth val="0"/>
          <c:extLst xmlns:c16r2="http://schemas.microsoft.com/office/drawing/2015/06/chart">
            <c:ext xmlns:c16="http://schemas.microsoft.com/office/drawing/2014/chart" uri="{C3380CC4-5D6E-409C-BE32-E72D297353CC}">
              <c16:uniqueId val="{00000002-86DF-4117-8851-BEAFCC95ACC5}"/>
            </c:ext>
          </c:extLst>
        </c:ser>
        <c:dLbls>
          <c:showLegendKey val="0"/>
          <c:showVal val="0"/>
          <c:showCatName val="0"/>
          <c:showSerName val="0"/>
          <c:showPercent val="0"/>
          <c:showBubbleSize val="0"/>
        </c:dLbls>
        <c:marker val="1"/>
        <c:smooth val="0"/>
        <c:axId val="393495184"/>
        <c:axId val="393497536"/>
      </c:lineChart>
      <c:catAx>
        <c:axId val="393495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97536"/>
        <c:crosses val="autoZero"/>
        <c:auto val="1"/>
        <c:lblAlgn val="ctr"/>
        <c:lblOffset val="100"/>
        <c:noMultiLvlLbl val="0"/>
      </c:catAx>
      <c:valAx>
        <c:axId val="3934975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95184"/>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1062367364974768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F10-486D-882E-4004756A2FD0}"/>
                </c:ext>
                <c:ext xmlns:c15="http://schemas.microsoft.com/office/drawing/2012/chart" uri="{CE6537A1-D6FC-4f65-9D91-7224C49458BB}"/>
              </c:extLst>
            </c:dLbl>
            <c:dLbl>
              <c:idx val="20"/>
              <c:layout>
                <c:manualLayout>
                  <c:x val="-3.2416273855229317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F10-486D-882E-4004756A2FD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92</c:v>
                </c:pt>
                <c:pt idx="1">
                  <c:v>128</c:v>
                </c:pt>
                <c:pt idx="2">
                  <c:v>117</c:v>
                </c:pt>
                <c:pt idx="3">
                  <c:v>124</c:v>
                </c:pt>
                <c:pt idx="4">
                  <c:v>77</c:v>
                </c:pt>
                <c:pt idx="5">
                  <c:v>93</c:v>
                </c:pt>
                <c:pt idx="6">
                  <c:v>124</c:v>
                </c:pt>
                <c:pt idx="7">
                  <c:v>155</c:v>
                </c:pt>
                <c:pt idx="8">
                  <c:v>141</c:v>
                </c:pt>
                <c:pt idx="9">
                  <c:v>147</c:v>
                </c:pt>
                <c:pt idx="10">
                  <c:v>143</c:v>
                </c:pt>
                <c:pt idx="11">
                  <c:v>159</c:v>
                </c:pt>
                <c:pt idx="12">
                  <c:v>228</c:v>
                </c:pt>
                <c:pt idx="13">
                  <c:v>246</c:v>
                </c:pt>
                <c:pt idx="14">
                  <c:v>235</c:v>
                </c:pt>
                <c:pt idx="15">
                  <c:v>124</c:v>
                </c:pt>
                <c:pt idx="16">
                  <c:v>108</c:v>
                </c:pt>
                <c:pt idx="17">
                  <c:v>91</c:v>
                </c:pt>
                <c:pt idx="18">
                  <c:v>35</c:v>
                </c:pt>
                <c:pt idx="19">
                  <c:v>4</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499496"/>
        <c:axId val="39349557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86</c:v>
                </c:pt>
                <c:pt idx="1">
                  <c:v>117</c:v>
                </c:pt>
                <c:pt idx="2">
                  <c:v>132</c:v>
                </c:pt>
                <c:pt idx="3">
                  <c:v>105</c:v>
                </c:pt>
                <c:pt idx="4">
                  <c:v>70</c:v>
                </c:pt>
                <c:pt idx="5">
                  <c:v>89</c:v>
                </c:pt>
                <c:pt idx="6">
                  <c:v>118</c:v>
                </c:pt>
                <c:pt idx="7">
                  <c:v>155</c:v>
                </c:pt>
                <c:pt idx="8">
                  <c:v>169</c:v>
                </c:pt>
                <c:pt idx="9">
                  <c:v>150</c:v>
                </c:pt>
                <c:pt idx="10">
                  <c:v>152</c:v>
                </c:pt>
                <c:pt idx="11">
                  <c:v>171</c:v>
                </c:pt>
                <c:pt idx="12">
                  <c:v>242</c:v>
                </c:pt>
                <c:pt idx="13">
                  <c:v>274</c:v>
                </c:pt>
                <c:pt idx="14">
                  <c:v>241</c:v>
                </c:pt>
                <c:pt idx="15">
                  <c:v>175</c:v>
                </c:pt>
                <c:pt idx="16">
                  <c:v>183</c:v>
                </c:pt>
                <c:pt idx="17">
                  <c:v>192</c:v>
                </c:pt>
                <c:pt idx="18">
                  <c:v>117</c:v>
                </c:pt>
                <c:pt idx="19">
                  <c:v>55</c:v>
                </c:pt>
                <c:pt idx="20">
                  <c:v>10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493224"/>
        <c:axId val="393498320"/>
      </c:barChart>
      <c:catAx>
        <c:axId val="3934994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95576"/>
        <c:crosses val="autoZero"/>
        <c:auto val="1"/>
        <c:lblAlgn val="ctr"/>
        <c:lblOffset val="100"/>
        <c:noMultiLvlLbl val="0"/>
      </c:catAx>
      <c:valAx>
        <c:axId val="39349557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99496"/>
        <c:crosses val="autoZero"/>
        <c:crossBetween val="between"/>
        <c:majorUnit val="150"/>
      </c:valAx>
      <c:valAx>
        <c:axId val="39349832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93224"/>
        <c:crosses val="max"/>
        <c:crossBetween val="between"/>
        <c:majorUnit val="150"/>
      </c:valAx>
      <c:catAx>
        <c:axId val="393493224"/>
        <c:scaling>
          <c:orientation val="minMax"/>
        </c:scaling>
        <c:delete val="1"/>
        <c:axPos val="l"/>
        <c:numFmt formatCode="General" sourceLinked="1"/>
        <c:majorTickMark val="out"/>
        <c:minorTickMark val="none"/>
        <c:tickLblPos val="nextTo"/>
        <c:crossAx val="3934983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EDDA-4C7D-AEC3-5948EB3B1BC5}"/>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EDDA-4C7D-AEC3-5948EB3B1BC5}"/>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EDDA-4C7D-AEC3-5948EB3B1BC5}"/>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DDA-4C7D-AEC3-5948EB3B1BC5}"/>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DDA-4C7D-AEC3-5948EB3B1BC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2788</c:v>
                </c:pt>
                <c:pt idx="1">
                  <c:v>2654</c:v>
                </c:pt>
                <c:pt idx="2">
                  <c:v>2572</c:v>
                </c:pt>
                <c:pt idx="3">
                  <c:v>2421</c:v>
                </c:pt>
                <c:pt idx="4">
                  <c:v>2251</c:v>
                </c:pt>
                <c:pt idx="5">
                  <c:v>2063</c:v>
                </c:pt>
                <c:pt idx="6">
                  <c:v>1874</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EDDA-4C7D-AEC3-5948EB3B1BC5}"/>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EDDA-4C7D-AEC3-5948EB3B1BC5}"/>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EDDA-4C7D-AEC3-5948EB3B1BC5}"/>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3230</c:v>
                </c:pt>
                <c:pt idx="1">
                  <c:v>3151</c:v>
                </c:pt>
                <c:pt idx="2">
                  <c:v>3003</c:v>
                </c:pt>
                <c:pt idx="3">
                  <c:v>2838</c:v>
                </c:pt>
                <c:pt idx="4">
                  <c:v>2652</c:v>
                </c:pt>
                <c:pt idx="5">
                  <c:v>2459</c:v>
                </c:pt>
                <c:pt idx="6">
                  <c:v>2261</c:v>
                </c:pt>
              </c:numCache>
            </c:numRef>
          </c:val>
          <c:extLst xmlns:c16r2="http://schemas.microsoft.com/office/drawing/2015/06/chart">
            <c:ext xmlns:c16="http://schemas.microsoft.com/office/drawing/2014/chart" uri="{C3380CC4-5D6E-409C-BE32-E72D297353CC}">
              <c16:uniqueId val="{00000010-EDDA-4C7D-AEC3-5948EB3B1BC5}"/>
            </c:ext>
          </c:extLst>
        </c:ser>
        <c:dLbls>
          <c:showLegendKey val="0"/>
          <c:showVal val="0"/>
          <c:showCatName val="0"/>
          <c:showSerName val="0"/>
          <c:showPercent val="0"/>
          <c:showBubbleSize val="0"/>
        </c:dLbls>
        <c:gapWidth val="219"/>
        <c:overlap val="100"/>
        <c:axId val="393499104"/>
        <c:axId val="39349596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6018</c:v>
                </c:pt>
                <c:pt idx="1">
                  <c:v>5805</c:v>
                </c:pt>
                <c:pt idx="2">
                  <c:v>5575</c:v>
                </c:pt>
                <c:pt idx="3">
                  <c:v>5259</c:v>
                </c:pt>
                <c:pt idx="4">
                  <c:v>4903</c:v>
                </c:pt>
                <c:pt idx="5">
                  <c:v>4522</c:v>
                </c:pt>
                <c:pt idx="6">
                  <c:v>4135</c:v>
                </c:pt>
              </c:numCache>
            </c:numRef>
          </c:val>
          <c:smooth val="0"/>
          <c:extLst xmlns:c16r2="http://schemas.microsoft.com/office/drawing/2015/06/chart">
            <c:ext xmlns:c16="http://schemas.microsoft.com/office/drawing/2014/chart" uri="{C3380CC4-5D6E-409C-BE32-E72D297353CC}">
              <c16:uniqueId val="{00000011-EDDA-4C7D-AEC3-5948EB3B1BC5}"/>
            </c:ext>
          </c:extLst>
        </c:ser>
        <c:dLbls>
          <c:showLegendKey val="0"/>
          <c:showVal val="0"/>
          <c:showCatName val="0"/>
          <c:showSerName val="0"/>
          <c:showPercent val="0"/>
          <c:showBubbleSize val="0"/>
        </c:dLbls>
        <c:marker val="1"/>
        <c:smooth val="0"/>
        <c:axId val="393499104"/>
        <c:axId val="393495968"/>
      </c:lineChart>
      <c:catAx>
        <c:axId val="393499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95968"/>
        <c:crosses val="autoZero"/>
        <c:auto val="1"/>
        <c:lblAlgn val="ctr"/>
        <c:lblOffset val="100"/>
        <c:noMultiLvlLbl val="0"/>
      </c:catAx>
      <c:valAx>
        <c:axId val="3934959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9910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307</c:v>
                </c:pt>
                <c:pt idx="1">
                  <c:v>301</c:v>
                </c:pt>
                <c:pt idx="2">
                  <c:v>296</c:v>
                </c:pt>
                <c:pt idx="3">
                  <c:v>278</c:v>
                </c:pt>
                <c:pt idx="4">
                  <c:v>228</c:v>
                </c:pt>
                <c:pt idx="5">
                  <c:v>187</c:v>
                </c:pt>
                <c:pt idx="6">
                  <c:v>165</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3497928"/>
        <c:axId val="393499888"/>
      </c:barChart>
      <c:catAx>
        <c:axId val="393497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99888"/>
        <c:crosses val="autoZero"/>
        <c:auto val="1"/>
        <c:lblAlgn val="ctr"/>
        <c:lblOffset val="100"/>
        <c:noMultiLvlLbl val="0"/>
      </c:catAx>
      <c:valAx>
        <c:axId val="3934998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979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木脇小学校区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国富町平均</v>
      </c>
      <c r="C4" s="88" t="str">
        <f>B4</f>
        <v>国富町平均</v>
      </c>
      <c r="D4" s="185">
        <f>SUM(D7:D70)</f>
        <v>7450</v>
      </c>
      <c r="E4" s="186">
        <f>SUM(E7:E70)</f>
        <v>4186</v>
      </c>
      <c r="F4" s="186">
        <f>SUM(F7:F70)</f>
        <v>1503</v>
      </c>
      <c r="G4" s="187">
        <f>SUM(G7:G70)</f>
        <v>1277</v>
      </c>
      <c r="H4" s="148">
        <f>E4/D4</f>
        <v>0.56187919463087244</v>
      </c>
      <c r="I4" s="149">
        <f>F4/D4</f>
        <v>0.20174496644295303</v>
      </c>
      <c r="J4" s="150">
        <f>G4/D4</f>
        <v>0.17140939597315435</v>
      </c>
      <c r="K4" s="185">
        <f>SUM(K7:K70)</f>
        <v>18398</v>
      </c>
      <c r="L4" s="186">
        <f>SUM(L7:L70)</f>
        <v>2576</v>
      </c>
      <c r="M4" s="186">
        <f>SUM(M7:M70)</f>
        <v>5353</v>
      </c>
      <c r="N4" s="187">
        <f>SUM(N7:N70)</f>
        <v>10212</v>
      </c>
      <c r="O4" s="148">
        <f>L4/K4</f>
        <v>0.14001521904554842</v>
      </c>
      <c r="P4" s="149">
        <f>M4/K4</f>
        <v>0.29095553864550494</v>
      </c>
      <c r="Q4" s="150">
        <f>N4/K4</f>
        <v>0.55506033264485266</v>
      </c>
      <c r="R4" s="185">
        <f>SUM(R7:R70)</f>
        <v>18398</v>
      </c>
      <c r="S4" s="145">
        <f>SUM(S7:S70)</f>
        <v>1721</v>
      </c>
      <c r="T4" s="145">
        <f>SUM(T7:T70)</f>
        <v>1147</v>
      </c>
      <c r="U4" s="144">
        <f>SUM(U7:U70)</f>
        <v>326</v>
      </c>
      <c r="V4" s="144">
        <f>SUM(V7:V70)</f>
        <v>117</v>
      </c>
      <c r="W4" s="146">
        <f>S4+T4+U4+V4</f>
        <v>3311</v>
      </c>
      <c r="X4" s="143">
        <f>SUM(X7:X70)</f>
        <v>8609.0000000000018</v>
      </c>
      <c r="Y4" s="144">
        <f>SUM(Y7:Y70)</f>
        <v>776</v>
      </c>
      <c r="Z4" s="144">
        <f>SUM(Z7:Z70)</f>
        <v>532</v>
      </c>
      <c r="AA4" s="144">
        <f>SUM(AA7:AA70)</f>
        <v>160</v>
      </c>
      <c r="AB4" s="144">
        <f>SUM(AB7:AB70)</f>
        <v>68</v>
      </c>
      <c r="AC4" s="146">
        <f>Y4+Z4+AA4+AB4</f>
        <v>1536</v>
      </c>
      <c r="AD4" s="143">
        <f>SUM(AD7:AD70)</f>
        <v>9789</v>
      </c>
      <c r="AE4" s="143">
        <f t="shared" ref="AE4:AH4" si="0">SUM(AE7:AE70)</f>
        <v>944.99999999999989</v>
      </c>
      <c r="AF4" s="143">
        <f t="shared" si="0"/>
        <v>615</v>
      </c>
      <c r="AG4" s="143">
        <f t="shared" si="0"/>
        <v>166</v>
      </c>
      <c r="AH4" s="143">
        <f t="shared" si="0"/>
        <v>49</v>
      </c>
      <c r="AI4" s="146">
        <f>AE4+AF4+AG4+AH4</f>
        <v>1775</v>
      </c>
      <c r="AJ4" s="148">
        <f>W4/R4</f>
        <v>0.17996521361017501</v>
      </c>
      <c r="AK4" s="149">
        <f>T4/W4</f>
        <v>0.3464210208396255</v>
      </c>
      <c r="AL4" s="149">
        <f>U4/W4</f>
        <v>9.8459679855028695E-2</v>
      </c>
      <c r="AM4" s="149">
        <f>V4/W4</f>
        <v>3.5336756266988824E-2</v>
      </c>
      <c r="AN4" s="147">
        <f>AC4/W4</f>
        <v>0.46390818483841739</v>
      </c>
      <c r="AO4" s="150">
        <f>AI4/W4</f>
        <v>0.53609181516158255</v>
      </c>
      <c r="AP4" s="143">
        <f>SUM(AP7:AP70)</f>
        <v>9389</v>
      </c>
      <c r="AQ4" s="144">
        <f t="shared" ref="AQ4:BI4" si="1">SUM(AQ7:AQ70)</f>
        <v>1761</v>
      </c>
      <c r="AR4" s="144">
        <f t="shared" si="1"/>
        <v>1.9999999999999998</v>
      </c>
      <c r="AS4" s="144">
        <f t="shared" si="1"/>
        <v>0</v>
      </c>
      <c r="AT4" s="144">
        <f t="shared" si="1"/>
        <v>992</v>
      </c>
      <c r="AU4" s="144">
        <f t="shared" si="1"/>
        <v>1159</v>
      </c>
      <c r="AV4" s="144">
        <f t="shared" si="1"/>
        <v>23</v>
      </c>
      <c r="AW4" s="144">
        <f t="shared" si="1"/>
        <v>78</v>
      </c>
      <c r="AX4" s="144">
        <f t="shared" si="1"/>
        <v>329</v>
      </c>
      <c r="AY4" s="144">
        <f t="shared" si="1"/>
        <v>1225</v>
      </c>
      <c r="AZ4" s="144">
        <f t="shared" si="1"/>
        <v>106</v>
      </c>
      <c r="BA4" s="144">
        <f t="shared" si="1"/>
        <v>85</v>
      </c>
      <c r="BB4" s="144">
        <f t="shared" si="1"/>
        <v>183</v>
      </c>
      <c r="BC4" s="144">
        <f t="shared" si="1"/>
        <v>304</v>
      </c>
      <c r="BD4" s="144">
        <f t="shared" si="1"/>
        <v>298</v>
      </c>
      <c r="BE4" s="144">
        <f t="shared" si="1"/>
        <v>275</v>
      </c>
      <c r="BF4" s="144">
        <f t="shared" si="1"/>
        <v>1585</v>
      </c>
      <c r="BG4" s="144">
        <f t="shared" si="1"/>
        <v>142</v>
      </c>
      <c r="BH4" s="144">
        <f t="shared" si="1"/>
        <v>529</v>
      </c>
      <c r="BI4" s="146">
        <f t="shared" si="1"/>
        <v>292</v>
      </c>
      <c r="BJ4" s="147">
        <f>IF($AP4=0,0,AQ4/$AP4)</f>
        <v>0.18755991053360316</v>
      </c>
      <c r="BK4" s="149">
        <f t="shared" ref="BK4:CB4" si="2">IF($AP4=0,0,AR4/$AP4)</f>
        <v>2.1301523058898708E-4</v>
      </c>
      <c r="BL4" s="149">
        <f t="shared" si="2"/>
        <v>0</v>
      </c>
      <c r="BM4" s="149">
        <f t="shared" si="2"/>
        <v>0.10565555437213761</v>
      </c>
      <c r="BN4" s="149">
        <f t="shared" si="2"/>
        <v>0.12344232612631803</v>
      </c>
      <c r="BO4" s="149">
        <f t="shared" si="2"/>
        <v>2.4496751517733518E-3</v>
      </c>
      <c r="BP4" s="149">
        <f t="shared" si="2"/>
        <v>8.3075939929704978E-3</v>
      </c>
      <c r="BQ4" s="149">
        <f t="shared" si="2"/>
        <v>3.5041005431888379E-2</v>
      </c>
      <c r="BR4" s="149">
        <f t="shared" si="2"/>
        <v>0.13047182873575461</v>
      </c>
      <c r="BS4" s="149">
        <f t="shared" si="2"/>
        <v>1.1289807221216317E-2</v>
      </c>
      <c r="BT4" s="149">
        <f t="shared" si="2"/>
        <v>9.0531473000319516E-3</v>
      </c>
      <c r="BU4" s="149">
        <f t="shared" si="2"/>
        <v>1.949089359889232E-2</v>
      </c>
      <c r="BV4" s="149">
        <f t="shared" si="2"/>
        <v>3.2378315049526041E-2</v>
      </c>
      <c r="BW4" s="149">
        <f t="shared" si="2"/>
        <v>3.173926935775908E-2</v>
      </c>
      <c r="BX4" s="149">
        <f t="shared" si="2"/>
        <v>2.9289594205985727E-2</v>
      </c>
      <c r="BY4" s="149">
        <f t="shared" si="2"/>
        <v>0.16881457024177229</v>
      </c>
      <c r="BZ4" s="149">
        <f t="shared" si="2"/>
        <v>1.5124081371818084E-2</v>
      </c>
      <c r="CA4" s="149">
        <f t="shared" si="2"/>
        <v>5.6342528490787094E-2</v>
      </c>
      <c r="CB4" s="150">
        <f t="shared" si="2"/>
        <v>3.1100223665992119E-2</v>
      </c>
      <c r="CC4" s="143">
        <f>SUM(CC7:CC70)</f>
        <v>9389</v>
      </c>
      <c r="CD4" s="144">
        <f t="shared" ref="CD4:CI4" si="3">SUM(CD7:CD70)</f>
        <v>5480</v>
      </c>
      <c r="CE4" s="144">
        <f t="shared" si="3"/>
        <v>3834.9999999999995</v>
      </c>
      <c r="CF4" s="144">
        <f t="shared" si="3"/>
        <v>24</v>
      </c>
      <c r="CG4" s="143">
        <f t="shared" si="3"/>
        <v>634</v>
      </c>
      <c r="CH4" s="144">
        <f t="shared" si="3"/>
        <v>217</v>
      </c>
      <c r="CI4" s="144">
        <f t="shared" si="3"/>
        <v>397.99999999999994</v>
      </c>
      <c r="CJ4" s="144">
        <f>SUM(CJ7:CJ70)</f>
        <v>10</v>
      </c>
      <c r="CK4" s="148">
        <f t="shared" ref="CK4:CM4" si="4">IF($CC4=0,0,CD4/$CC4)</f>
        <v>0.58366173181382464</v>
      </c>
      <c r="CL4" s="149">
        <f t="shared" si="4"/>
        <v>0.40845670465438272</v>
      </c>
      <c r="CM4" s="150">
        <f t="shared" si="4"/>
        <v>2.5561827670678452E-3</v>
      </c>
      <c r="CN4" s="148">
        <f t="shared" ref="CN4:CP4" si="5">IF($CG4=0,0,CH4/$CG4)</f>
        <v>0.3422712933753943</v>
      </c>
      <c r="CO4" s="149">
        <f t="shared" si="5"/>
        <v>0.62776025236593047</v>
      </c>
      <c r="CP4" s="150">
        <f t="shared" si="5"/>
        <v>1.5772870662460567E-2</v>
      </c>
    </row>
    <row r="5" spans="1:94" s="181" customFormat="1" x14ac:dyDescent="0.15">
      <c r="A5" s="183" t="str">
        <f>管理者入力シート!B2</f>
        <v>45382_6</v>
      </c>
      <c r="B5" s="201" t="str">
        <f>VLOOKUP($A$5,$A$7:$CP$50,2,FALSE)</f>
        <v>国富町</v>
      </c>
      <c r="C5" s="201" t="str">
        <f>VLOOKUP($A$5,$A$7:$CP$50,3,FALSE)</f>
        <v>木脇小学校区</v>
      </c>
      <c r="D5" s="188">
        <f>VLOOKUP($A$5,$A$7:$CP$70,4,FALSE)</f>
        <v>2173.0299999999997</v>
      </c>
      <c r="E5" s="189">
        <f>VLOOKUP($A$5,$A$7:$CP$70,5,FALSE)</f>
        <v>1174.52</v>
      </c>
      <c r="F5" s="189">
        <f>VLOOKUP($A$5,$A$7:$CP$70,6,FALSE)</f>
        <v>431.93</v>
      </c>
      <c r="G5" s="190">
        <f>VLOOKUP($A$5,$A$7:$CP$70,7,FALSE)</f>
        <v>356.05</v>
      </c>
      <c r="H5" s="178">
        <f>VLOOKUP($A$5,$A$7:$CP$70,8,FALSE)</f>
        <v>0.54049875059249075</v>
      </c>
      <c r="I5" s="179">
        <f>VLOOKUP($A$5,$A$7:$CP$70,9,FALSE)</f>
        <v>0.19876853978085901</v>
      </c>
      <c r="J5" s="180">
        <f>VLOOKUP($A$5,$A$7:$CP$70,10,FALSE)</f>
        <v>0.16384955568952111</v>
      </c>
      <c r="K5" s="188">
        <f>VLOOKUP($A$5,$A$7:$CP$70,11,FALSE)</f>
        <v>5574.32</v>
      </c>
      <c r="L5" s="189">
        <f>VLOOKUP($A$5,$A$7:$CP$70,12,FALSE)</f>
        <v>645.54</v>
      </c>
      <c r="M5" s="189">
        <f>VLOOKUP($A$5,$A$7:$CP$70,13,FALSE)</f>
        <v>1827.56</v>
      </c>
      <c r="N5" s="190">
        <f>VLOOKUP($A$5,$A$7:$CP$70,14,FALSE)</f>
        <v>3029.1400000000003</v>
      </c>
      <c r="O5" s="178">
        <f>VLOOKUP($A$5,$A$7:$CP$70,15,FALSE)</f>
        <v>0.11580605347378693</v>
      </c>
      <c r="P5" s="179">
        <f>VLOOKUP($A$5,$A$7:$CP$70,16,FALSE)</f>
        <v>0.32785344221357943</v>
      </c>
      <c r="Q5" s="180">
        <f>VLOOKUP($A$5,$A$7:$CP$70,17,FALSE)</f>
        <v>0.54340977913001054</v>
      </c>
      <c r="R5" s="188">
        <f>VLOOKUP($A$5,$A$7:$CP$70,18,FALSE)</f>
        <v>5574.32</v>
      </c>
      <c r="S5" s="189">
        <f>VLOOKUP($A$5,$A$7:$CP$70,19,FALSE)</f>
        <v>615.94000000000005</v>
      </c>
      <c r="T5" s="189">
        <f>VLOOKUP($A$5,$A$7:$CP$70,20,FALSE)</f>
        <v>420.65999999999997</v>
      </c>
      <c r="U5" s="189">
        <f>VLOOKUP($A$5,$A$7:$CP$70,21,FALSE)</f>
        <v>97.97</v>
      </c>
      <c r="V5" s="189">
        <f>VLOOKUP($A$5,$A$7:$CP$70,22,FALSE)</f>
        <v>53.480000000000004</v>
      </c>
      <c r="W5" s="190">
        <f>VLOOKUP($A$5,$A$7:$CP$70,23,FALSE)</f>
        <v>1188.05</v>
      </c>
      <c r="X5" s="188">
        <f>VLOOKUP($A$5,$A$7:$CP$70,24,FALSE)</f>
        <v>2572.31</v>
      </c>
      <c r="Y5" s="189">
        <f>VLOOKUP($A$5,$A$7:$CP$70,25,FALSE)</f>
        <v>259.8</v>
      </c>
      <c r="Z5" s="189">
        <f>VLOOKUP($A$5,$A$7:$CP$70,26,FALSE)</f>
        <v>189.06</v>
      </c>
      <c r="AA5" s="189">
        <f>VLOOKUP($A$5,$A$7:$CP$70,27,FALSE)</f>
        <v>45.67</v>
      </c>
      <c r="AB5" s="189">
        <f>VLOOKUP($A$5,$A$7:$CP$70,28,FALSE)</f>
        <v>24.16</v>
      </c>
      <c r="AC5" s="191">
        <f>VLOOKUP($A$5,$A$7:$CP$70,29,FALSE)</f>
        <v>518.69000000000005</v>
      </c>
      <c r="AD5" s="188">
        <f>VLOOKUP($A$5,$A$7:$CP$70,30,FALSE)</f>
        <v>3002.01</v>
      </c>
      <c r="AE5" s="189">
        <f>VLOOKUP($A$5,$A$7:$CP$70,31,FALSE)</f>
        <v>356.14</v>
      </c>
      <c r="AF5" s="189">
        <f>VLOOKUP($A$5,$A$7:$CP$70,32,FALSE)</f>
        <v>231.6</v>
      </c>
      <c r="AG5" s="189">
        <f>VLOOKUP($A$5,$A$7:$CP$70,33,FALSE)</f>
        <v>52.3</v>
      </c>
      <c r="AH5" s="189">
        <f>VLOOKUP($A$5,$A$7:$CP$70,34,FALSE)</f>
        <v>29.32</v>
      </c>
      <c r="AI5" s="191">
        <f>VLOOKUP($A$5,$A$7:$CP$70,35,FALSE)</f>
        <v>669.36</v>
      </c>
      <c r="AJ5" s="178">
        <f>VLOOKUP($A$5,$A$7:$CP$70,36,FALSE)</f>
        <v>0.21312913503351083</v>
      </c>
      <c r="AK5" s="179">
        <f>VLOOKUP($A$5,$A$7:$CP$70,37,FALSE)</f>
        <v>0.35407600690206642</v>
      </c>
      <c r="AL5" s="179">
        <f>VLOOKUP($A$5,$A$7:$CP$70,38,FALSE)</f>
        <v>8.246285930726821E-2</v>
      </c>
      <c r="AM5" s="179">
        <f>VLOOKUP($A$5,$A$7:$CP$70,39,FALSE)</f>
        <v>4.501494044863432E-2</v>
      </c>
      <c r="AN5" s="182">
        <f>VLOOKUP($A$5,$A$7:$CP$70,40,FALSE)</f>
        <v>0.43658936913429575</v>
      </c>
      <c r="AO5" s="180">
        <f>VLOOKUP($A$5,$A$7:$CP$70,41,FALSE)</f>
        <v>0.56341063086570431</v>
      </c>
      <c r="AP5" s="192">
        <f>VLOOKUP($A$5,$A$7:$CP$70,42,FALSE)</f>
        <v>2742.56</v>
      </c>
      <c r="AQ5" s="189">
        <f>VLOOKUP($A$5,$A$7:$CP$70,43,FALSE)</f>
        <v>364.7</v>
      </c>
      <c r="AR5" s="189">
        <f>VLOOKUP($A$5,$A$7:$CP$70,44,FALSE)</f>
        <v>0.16</v>
      </c>
      <c r="AS5" s="189">
        <f>VLOOKUP($A$5,$A$7:$CP$70,45,FALSE)</f>
        <v>0</v>
      </c>
      <c r="AT5" s="189">
        <f>VLOOKUP($A$5,$A$7:$CP$70,46,FALSE)</f>
        <v>328.17</v>
      </c>
      <c r="AU5" s="189">
        <f>VLOOKUP($A$5,$A$7:$CP$70,47,FALSE)</f>
        <v>368.68</v>
      </c>
      <c r="AV5" s="189">
        <f>VLOOKUP($A$5,$A$7:$CP$70,48,FALSE)</f>
        <v>8.75</v>
      </c>
      <c r="AW5" s="189">
        <f>VLOOKUP($A$5,$A$7:$CP$70,49,FALSE)</f>
        <v>22.509999999999998</v>
      </c>
      <c r="AX5" s="189">
        <f>VLOOKUP($A$5,$A$7:$CP$70,50,FALSE)</f>
        <v>94.06</v>
      </c>
      <c r="AY5" s="189">
        <f>VLOOKUP($A$5,$A$7:$CP$70,51,FALSE)</f>
        <v>380.17</v>
      </c>
      <c r="AZ5" s="189">
        <f>VLOOKUP($A$5,$A$7:$CP$70,52,FALSE)</f>
        <v>36.870000000000005</v>
      </c>
      <c r="BA5" s="189">
        <f>VLOOKUP($A$5,$A$7:$CP$70,53,FALSE)</f>
        <v>28.490000000000002</v>
      </c>
      <c r="BB5" s="189">
        <f>VLOOKUP($A$5,$A$7:$CP$70,54,FALSE)</f>
        <v>55.11</v>
      </c>
      <c r="BC5" s="189">
        <f>VLOOKUP($A$5,$A$7:$CP$70,55,FALSE)</f>
        <v>103.47999999999999</v>
      </c>
      <c r="BD5" s="189">
        <f>VLOOKUP($A$5,$A$7:$CP$70,56,FALSE)</f>
        <v>87.69</v>
      </c>
      <c r="BE5" s="189">
        <f>VLOOKUP($A$5,$A$7:$CP$70,57,FALSE)</f>
        <v>83.98</v>
      </c>
      <c r="BF5" s="189">
        <f>VLOOKUP($A$5,$A$7:$CP$70,58,FALSE)</f>
        <v>482</v>
      </c>
      <c r="BG5" s="189">
        <f>VLOOKUP($A$5,$A$7:$CP$70,59,FALSE)</f>
        <v>39.33</v>
      </c>
      <c r="BH5" s="189">
        <f>VLOOKUP($A$5,$A$7:$CP$70,60,FALSE)</f>
        <v>153.20999999999998</v>
      </c>
      <c r="BI5" s="189">
        <f>VLOOKUP($A$5,$A$7:$CP$70,61,FALSE)</f>
        <v>100.39</v>
      </c>
      <c r="BJ5" s="178">
        <f>VLOOKUP($A$5,$A$7:$CP$70,62,FALSE)</f>
        <v>0.13297794761099119</v>
      </c>
      <c r="BK5" s="179">
        <f>VLOOKUP($A$5,$A$7:$CP$70,63,FALSE)</f>
        <v>5.8339653462458439E-5</v>
      </c>
      <c r="BL5" s="179">
        <f>VLOOKUP($A$5,$A$7:$CP$70,64,FALSE)</f>
        <v>0</v>
      </c>
      <c r="BM5" s="179">
        <f>VLOOKUP($A$5,$A$7:$CP$70,65,FALSE)</f>
        <v>0.11965827547984366</v>
      </c>
      <c r="BN5" s="179">
        <f>VLOOKUP($A$5,$A$7:$CP$70,66,FALSE)</f>
        <v>0.13442914649086984</v>
      </c>
      <c r="BO5" s="179">
        <f>VLOOKUP($A$5,$A$7:$CP$70,67,FALSE)</f>
        <v>3.1904497987281957E-3</v>
      </c>
      <c r="BP5" s="179">
        <f>VLOOKUP($A$5,$A$7:$CP$70,68,FALSE)</f>
        <v>8.2076599964996198E-3</v>
      </c>
      <c r="BQ5" s="179">
        <f>VLOOKUP($A$5,$A$7:$CP$70,69,FALSE)</f>
        <v>3.4296423779242753E-2</v>
      </c>
      <c r="BR5" s="179">
        <f>VLOOKUP($A$5,$A$7:$CP$70,70,FALSE)</f>
        <v>0.13861866285514265</v>
      </c>
      <c r="BS5" s="179">
        <f>VLOOKUP($A$5,$A$7:$CP$70,71,FALSE)</f>
        <v>1.3443643894755266E-2</v>
      </c>
      <c r="BT5" s="179">
        <f>VLOOKUP($A$5,$A$7:$CP$70,72,FALSE)</f>
        <v>1.0388104544659006E-2</v>
      </c>
      <c r="BU5" s="179">
        <f>VLOOKUP($A$5,$A$7:$CP$70,73,FALSE)</f>
        <v>2.0094364389475528E-2</v>
      </c>
      <c r="BV5" s="179">
        <f>VLOOKUP($A$5,$A$7:$CP$70,74,FALSE)</f>
        <v>3.7731170876844987E-2</v>
      </c>
      <c r="BW5" s="179">
        <f>VLOOKUP($A$5,$A$7:$CP$70,75,FALSE)</f>
        <v>3.1973776325768623E-2</v>
      </c>
      <c r="BX5" s="179">
        <f>VLOOKUP($A$5,$A$7:$CP$70,76,FALSE)</f>
        <v>3.0621025611107872E-2</v>
      </c>
      <c r="BY5" s="179">
        <f>VLOOKUP($A$5,$A$7:$CP$70,77,FALSE)</f>
        <v>0.17574820605565603</v>
      </c>
      <c r="BZ5" s="179">
        <f>VLOOKUP($A$5,$A$7:$CP$70,78,FALSE)</f>
        <v>1.4340616066740563E-2</v>
      </c>
      <c r="CA5" s="179">
        <f>VLOOKUP($A$5,$A$7:$CP$70,79,FALSE)</f>
        <v>5.5863864418645347E-2</v>
      </c>
      <c r="CB5" s="180">
        <f>VLOOKUP($A$5,$A$7:$CP$70,80,FALSE)</f>
        <v>3.6604486319351266E-2</v>
      </c>
      <c r="CC5" s="188">
        <f>VLOOKUP($A$5,$A$7:$CP$70,81,FALSE)</f>
        <v>2742.56</v>
      </c>
      <c r="CD5" s="190">
        <f>VLOOKUP($A$5,$A$7:$CP$70,82,FALSE)</f>
        <v>1465.7</v>
      </c>
      <c r="CE5" s="189">
        <f>VLOOKUP($A$5,$A$7:$CP$70,83,FALSE)</f>
        <v>1256.3699999999999</v>
      </c>
      <c r="CF5" s="191">
        <f>VLOOKUP($A$5,$A$7:$CP$70,84,FALSE)</f>
        <v>8.2199999999999989</v>
      </c>
      <c r="CG5" s="188">
        <f>VLOOKUP($A$5,$A$7:$CP$70,85,FALSE)</f>
        <v>208.16</v>
      </c>
      <c r="CH5" s="189">
        <f>VLOOKUP($A$5,$A$7:$CP$70,86,FALSE)</f>
        <v>66.36</v>
      </c>
      <c r="CI5" s="189">
        <f>VLOOKUP($A$5,$A$7:$CP$70,87,FALSE)</f>
        <v>133.26</v>
      </c>
      <c r="CJ5" s="191">
        <f>VLOOKUP($A$5,$A$7:$CP$70,88,FALSE)</f>
        <v>4.96</v>
      </c>
      <c r="CK5" s="178">
        <f>VLOOKUP($A$5,$A$7:$CP$70,89,FALSE)</f>
        <v>0.53442768799953333</v>
      </c>
      <c r="CL5" s="179">
        <f>VLOOKUP($A$5,$A$7:$CP$70,90,FALSE)</f>
        <v>0.45810119012893058</v>
      </c>
      <c r="CM5" s="180">
        <f>VLOOKUP($A$5,$A$7:$CP$70,91,FALSE)</f>
        <v>2.9971996966338017E-3</v>
      </c>
      <c r="CN5" s="178">
        <f>VLOOKUP($A$5,$A$7:$CP$70,92,FALSE)</f>
        <v>0.318793235972329</v>
      </c>
      <c r="CO5" s="179">
        <f>VLOOKUP($A$5,$A$7:$CP$70,93,FALSE)</f>
        <v>0.64018063028439653</v>
      </c>
      <c r="CP5" s="180">
        <f>VLOOKUP($A$5,$A$7:$CP$70,94,FALSE)</f>
        <v>2.3827824750192159E-2</v>
      </c>
    </row>
    <row r="6" spans="1:94" s="241" customFormat="1" x14ac:dyDescent="0.15"/>
    <row r="7" spans="1:94" x14ac:dyDescent="0.15">
      <c r="A7" t="s">
        <v>431</v>
      </c>
      <c r="B7" t="s">
        <v>432</v>
      </c>
      <c r="C7" t="s">
        <v>433</v>
      </c>
      <c r="D7">
        <v>3011.9700000000003</v>
      </c>
      <c r="E7">
        <v>1572.48</v>
      </c>
      <c r="F7">
        <v>561.06999999999994</v>
      </c>
      <c r="G7">
        <v>472.95</v>
      </c>
      <c r="H7">
        <v>0.52207691311666449</v>
      </c>
      <c r="I7">
        <v>0.18628007583076853</v>
      </c>
      <c r="J7">
        <v>0.15702347632944549</v>
      </c>
      <c r="K7">
        <v>7493.6799999999994</v>
      </c>
      <c r="L7">
        <v>879.45999999999992</v>
      </c>
      <c r="M7">
        <v>2379.44</v>
      </c>
      <c r="N7">
        <v>4079.8599999999997</v>
      </c>
      <c r="O7">
        <v>0.1173602288862081</v>
      </c>
      <c r="P7">
        <v>0.31752623544106506</v>
      </c>
      <c r="Q7">
        <v>0.54444011487013055</v>
      </c>
      <c r="R7">
        <v>7493.6799999999994</v>
      </c>
      <c r="S7">
        <v>827.06</v>
      </c>
      <c r="T7">
        <v>503.34</v>
      </c>
      <c r="U7">
        <v>158.03</v>
      </c>
      <c r="V7">
        <v>25.52</v>
      </c>
      <c r="W7">
        <v>1513.9499999999998</v>
      </c>
      <c r="X7">
        <v>3512.69</v>
      </c>
      <c r="Y7">
        <v>386.2</v>
      </c>
      <c r="Z7">
        <v>233.94</v>
      </c>
      <c r="AA7">
        <v>78.33</v>
      </c>
      <c r="AB7">
        <v>21.84</v>
      </c>
      <c r="AC7">
        <v>720.31000000000006</v>
      </c>
      <c r="AD7">
        <v>3980.99</v>
      </c>
      <c r="AE7">
        <v>440.85999999999996</v>
      </c>
      <c r="AF7">
        <v>269.39999999999998</v>
      </c>
      <c r="AG7">
        <v>79.699999999999989</v>
      </c>
      <c r="AH7">
        <v>3.6799999999999997</v>
      </c>
      <c r="AI7">
        <v>793.64</v>
      </c>
      <c r="AJ7">
        <v>0.20203024415240575</v>
      </c>
      <c r="AK7">
        <v>0.33246804716139899</v>
      </c>
      <c r="AL7">
        <v>0.10438257538227816</v>
      </c>
      <c r="AM7">
        <v>1.6856567257835464E-2</v>
      </c>
      <c r="AN7">
        <v>0.47578189504276902</v>
      </c>
      <c r="AO7">
        <v>0.52421810495723109</v>
      </c>
      <c r="AP7">
        <v>3750.4399999999996</v>
      </c>
      <c r="AQ7">
        <v>458.29999999999995</v>
      </c>
      <c r="AR7">
        <v>0.84</v>
      </c>
      <c r="AS7">
        <v>0</v>
      </c>
      <c r="AT7">
        <v>370.83000000000004</v>
      </c>
      <c r="AU7">
        <v>471.32</v>
      </c>
      <c r="AV7">
        <v>8.25</v>
      </c>
      <c r="AW7">
        <v>40.49</v>
      </c>
      <c r="AX7">
        <v>144.94</v>
      </c>
      <c r="AY7">
        <v>532.82999999999993</v>
      </c>
      <c r="AZ7">
        <v>45.129999999999995</v>
      </c>
      <c r="BA7">
        <v>38.51</v>
      </c>
      <c r="BB7">
        <v>74.89</v>
      </c>
      <c r="BC7">
        <v>132.51999999999998</v>
      </c>
      <c r="BD7">
        <v>150.30999999999997</v>
      </c>
      <c r="BE7">
        <v>136.01999999999998</v>
      </c>
      <c r="BF7">
        <v>722</v>
      </c>
      <c r="BG7">
        <v>65.67</v>
      </c>
      <c r="BH7">
        <v>208.79</v>
      </c>
      <c r="BI7">
        <v>134.61000000000001</v>
      </c>
      <c r="BJ7">
        <v>0.1221989953178827</v>
      </c>
      <c r="BK7">
        <v>2.2397372041680445E-4</v>
      </c>
      <c r="BL7">
        <v>0</v>
      </c>
      <c r="BM7">
        <v>9.8876398502575721E-2</v>
      </c>
      <c r="BN7">
        <v>0.12567058798434319</v>
      </c>
      <c r="BO7">
        <v>2.1997418969507579E-3</v>
      </c>
      <c r="BP7">
        <v>1.0796066594852872E-2</v>
      </c>
      <c r="BQ7">
        <v>3.8646132187156713E-2</v>
      </c>
      <c r="BR7">
        <v>0.14207133029724511</v>
      </c>
      <c r="BS7">
        <v>1.2033254764774267E-2</v>
      </c>
      <c r="BT7">
        <v>1.0268128539584689E-2</v>
      </c>
      <c r="BU7">
        <v>1.996832371668391E-2</v>
      </c>
      <c r="BV7">
        <v>3.5334520749565383E-2</v>
      </c>
      <c r="BW7">
        <v>4.007796418553556E-2</v>
      </c>
      <c r="BX7">
        <v>3.62677445846354E-2</v>
      </c>
      <c r="BY7">
        <v>0.1925107454058724</v>
      </c>
      <c r="BZ7">
        <v>1.7509945499728036E-2</v>
      </c>
      <c r="CA7">
        <v>5.5670801292648335E-2</v>
      </c>
      <c r="CB7">
        <v>3.5891788696792916E-2</v>
      </c>
      <c r="CC7">
        <v>3750.4399999999996</v>
      </c>
      <c r="CD7">
        <v>2127.3000000000002</v>
      </c>
      <c r="CE7">
        <v>1589.63</v>
      </c>
      <c r="CF7">
        <v>7.7799999999999994</v>
      </c>
      <c r="CG7">
        <v>280.84000000000003</v>
      </c>
      <c r="CH7">
        <v>93.64</v>
      </c>
      <c r="CI7">
        <v>177.73999999999998</v>
      </c>
      <c r="CJ7">
        <v>5.04</v>
      </c>
      <c r="CK7">
        <v>0.56721344695555731</v>
      </c>
      <c r="CL7">
        <v>0.42385160141210104</v>
      </c>
      <c r="CM7">
        <v>2.0744232676699267E-3</v>
      </c>
      <c r="CN7">
        <v>0.33342828656886481</v>
      </c>
      <c r="CO7">
        <v>0.63288705312633509</v>
      </c>
      <c r="CP7">
        <v>1.7946161515453637E-2</v>
      </c>
    </row>
    <row r="8" spans="1:94" x14ac:dyDescent="0.15">
      <c r="A8" t="s">
        <v>434</v>
      </c>
      <c r="B8" t="s">
        <v>432</v>
      </c>
      <c r="C8" t="s">
        <v>435</v>
      </c>
      <c r="D8">
        <v>851</v>
      </c>
      <c r="E8">
        <v>507</v>
      </c>
      <c r="F8">
        <v>185</v>
      </c>
      <c r="G8">
        <v>151</v>
      </c>
      <c r="H8">
        <v>0.59576968272620445</v>
      </c>
      <c r="I8">
        <v>0.21739130434782608</v>
      </c>
      <c r="J8">
        <v>0.17743830787309048</v>
      </c>
      <c r="K8">
        <v>2148</v>
      </c>
      <c r="L8">
        <v>387</v>
      </c>
      <c r="M8">
        <v>551</v>
      </c>
      <c r="N8">
        <v>1194</v>
      </c>
      <c r="O8">
        <v>0.18016759776536312</v>
      </c>
      <c r="P8">
        <v>0.2565176908752328</v>
      </c>
      <c r="Q8">
        <v>0.55586592178770955</v>
      </c>
      <c r="R8">
        <v>2148</v>
      </c>
      <c r="S8">
        <v>145</v>
      </c>
      <c r="T8">
        <v>113</v>
      </c>
      <c r="U8">
        <v>29</v>
      </c>
      <c r="V8">
        <v>33</v>
      </c>
      <c r="W8">
        <v>320</v>
      </c>
      <c r="X8">
        <v>1021</v>
      </c>
      <c r="Y8">
        <v>70</v>
      </c>
      <c r="Z8">
        <v>51</v>
      </c>
      <c r="AA8">
        <v>13</v>
      </c>
      <c r="AB8">
        <v>19</v>
      </c>
      <c r="AC8">
        <v>153</v>
      </c>
      <c r="AD8">
        <v>1127</v>
      </c>
      <c r="AE8">
        <v>75</v>
      </c>
      <c r="AF8">
        <v>62</v>
      </c>
      <c r="AG8">
        <v>16</v>
      </c>
      <c r="AH8">
        <v>14</v>
      </c>
      <c r="AI8">
        <v>167</v>
      </c>
      <c r="AJ8">
        <v>0.148975791433892</v>
      </c>
      <c r="AK8">
        <v>0.35312500000000002</v>
      </c>
      <c r="AL8">
        <v>9.0624999999999997E-2</v>
      </c>
      <c r="AM8">
        <v>0.10312499999999999</v>
      </c>
      <c r="AN8">
        <v>0.47812500000000002</v>
      </c>
      <c r="AO8">
        <v>0.52187499999999998</v>
      </c>
      <c r="AP8">
        <v>1148</v>
      </c>
      <c r="AQ8">
        <v>325</v>
      </c>
      <c r="AR8">
        <v>1</v>
      </c>
      <c r="AS8">
        <v>0</v>
      </c>
      <c r="AT8">
        <v>116</v>
      </c>
      <c r="AU8">
        <v>140</v>
      </c>
      <c r="AV8">
        <v>2</v>
      </c>
      <c r="AW8">
        <v>6</v>
      </c>
      <c r="AX8">
        <v>40</v>
      </c>
      <c r="AY8">
        <v>131</v>
      </c>
      <c r="AZ8">
        <v>13</v>
      </c>
      <c r="BA8">
        <v>8</v>
      </c>
      <c r="BB8">
        <v>22</v>
      </c>
      <c r="BC8">
        <v>30</v>
      </c>
      <c r="BD8">
        <v>25</v>
      </c>
      <c r="BE8">
        <v>20</v>
      </c>
      <c r="BF8">
        <v>164</v>
      </c>
      <c r="BG8">
        <v>12</v>
      </c>
      <c r="BH8">
        <v>72</v>
      </c>
      <c r="BI8">
        <v>19</v>
      </c>
      <c r="BJ8">
        <v>0.28310104529616725</v>
      </c>
      <c r="BK8">
        <v>8.710801393728223E-4</v>
      </c>
      <c r="BL8">
        <v>0</v>
      </c>
      <c r="BM8">
        <v>0.10104529616724739</v>
      </c>
      <c r="BN8">
        <v>0.12195121951219512</v>
      </c>
      <c r="BO8">
        <v>1.7421602787456446E-3</v>
      </c>
      <c r="BP8">
        <v>5.2264808362369342E-3</v>
      </c>
      <c r="BQ8">
        <v>3.484320557491289E-2</v>
      </c>
      <c r="BR8">
        <v>0.11411149825783973</v>
      </c>
      <c r="BS8">
        <v>1.1324041811846691E-2</v>
      </c>
      <c r="BT8">
        <v>6.9686411149825784E-3</v>
      </c>
      <c r="BU8">
        <v>1.9163763066202089E-2</v>
      </c>
      <c r="BV8">
        <v>2.6132404181184669E-2</v>
      </c>
      <c r="BW8">
        <v>2.1777003484320559E-2</v>
      </c>
      <c r="BX8">
        <v>1.7421602787456445E-2</v>
      </c>
      <c r="BY8">
        <v>0.14285714285714285</v>
      </c>
      <c r="BZ8">
        <v>1.0452961672473868E-2</v>
      </c>
      <c r="CA8">
        <v>6.2717770034843204E-2</v>
      </c>
      <c r="CB8">
        <v>1.6550522648083623E-2</v>
      </c>
      <c r="CC8">
        <v>1148</v>
      </c>
      <c r="CD8">
        <v>729</v>
      </c>
      <c r="CE8">
        <v>415</v>
      </c>
      <c r="CF8">
        <v>1</v>
      </c>
      <c r="CG8">
        <v>77</v>
      </c>
      <c r="CH8">
        <v>29</v>
      </c>
      <c r="CI8">
        <v>48</v>
      </c>
      <c r="CJ8">
        <v>0</v>
      </c>
      <c r="CK8">
        <v>0.6350174216027874</v>
      </c>
      <c r="CL8">
        <v>0.36149825783972128</v>
      </c>
      <c r="CM8">
        <v>8.710801393728223E-4</v>
      </c>
      <c r="CN8">
        <v>0.37662337662337664</v>
      </c>
      <c r="CO8">
        <v>0.62337662337662336</v>
      </c>
      <c r="CP8">
        <v>0</v>
      </c>
    </row>
    <row r="9" spans="1:94" x14ac:dyDescent="0.15">
      <c r="A9" t="s">
        <v>436</v>
      </c>
      <c r="B9" t="s">
        <v>432</v>
      </c>
      <c r="C9" t="s">
        <v>437</v>
      </c>
      <c r="D9">
        <v>488.73</v>
      </c>
      <c r="E9">
        <v>328</v>
      </c>
      <c r="F9">
        <v>114.87</v>
      </c>
      <c r="G9">
        <v>103.28</v>
      </c>
      <c r="H9">
        <v>0.67112720725144759</v>
      </c>
      <c r="I9">
        <v>0.23503775090540791</v>
      </c>
      <c r="J9">
        <v>0.21132322550283386</v>
      </c>
      <c r="K9">
        <v>1112.3900000000001</v>
      </c>
      <c r="L9">
        <v>243.69</v>
      </c>
      <c r="M9">
        <v>200.57</v>
      </c>
      <c r="N9">
        <v>660.27</v>
      </c>
      <c r="O9">
        <v>0.21906885175163385</v>
      </c>
      <c r="P9">
        <v>0.18030546840586484</v>
      </c>
      <c r="Q9">
        <v>0.59355981265563329</v>
      </c>
      <c r="R9">
        <v>1112.3900000000001</v>
      </c>
      <c r="S9">
        <v>43.230000000000004</v>
      </c>
      <c r="T9">
        <v>38.159999999999997</v>
      </c>
      <c r="U9">
        <v>17.509999999999998</v>
      </c>
      <c r="V9">
        <v>1.2</v>
      </c>
      <c r="W9">
        <v>100.10000000000001</v>
      </c>
      <c r="X9">
        <v>528.6</v>
      </c>
      <c r="Y9">
        <v>17.79</v>
      </c>
      <c r="Z9">
        <v>20.69</v>
      </c>
      <c r="AA9">
        <v>9.4499999999999993</v>
      </c>
      <c r="AB9">
        <v>0.62</v>
      </c>
      <c r="AC9">
        <v>48.550000000000004</v>
      </c>
      <c r="AD9">
        <v>583.79000000000008</v>
      </c>
      <c r="AE9">
        <v>25.439999999999998</v>
      </c>
      <c r="AF9">
        <v>17.47</v>
      </c>
      <c r="AG9">
        <v>8.06</v>
      </c>
      <c r="AH9">
        <v>0.57999999999999996</v>
      </c>
      <c r="AI9">
        <v>51.55</v>
      </c>
      <c r="AJ9">
        <v>8.998642562410665E-2</v>
      </c>
      <c r="AK9">
        <v>0.38121878121878117</v>
      </c>
      <c r="AL9">
        <v>0.17492507492507489</v>
      </c>
      <c r="AM9">
        <v>1.1988011988011986E-2</v>
      </c>
      <c r="AN9">
        <v>0.48501498501498502</v>
      </c>
      <c r="AO9">
        <v>0.51498501498501492</v>
      </c>
      <c r="AP9">
        <v>606.39</v>
      </c>
      <c r="AQ9">
        <v>216.44000000000003</v>
      </c>
      <c r="AR9">
        <v>0</v>
      </c>
      <c r="AS9">
        <v>0</v>
      </c>
      <c r="AT9">
        <v>62.150000000000006</v>
      </c>
      <c r="AU9">
        <v>59.09</v>
      </c>
      <c r="AV9">
        <v>0.41</v>
      </c>
      <c r="AW9">
        <v>4.99</v>
      </c>
      <c r="AX9">
        <v>13.74</v>
      </c>
      <c r="AY9">
        <v>62.32</v>
      </c>
      <c r="AZ9">
        <v>3.6100000000000003</v>
      </c>
      <c r="BA9">
        <v>3.5700000000000003</v>
      </c>
      <c r="BB9">
        <v>10.56</v>
      </c>
      <c r="BC9">
        <v>15.43</v>
      </c>
      <c r="BD9">
        <v>7.76</v>
      </c>
      <c r="BE9">
        <v>10.7</v>
      </c>
      <c r="BF9">
        <v>80.900000000000006</v>
      </c>
      <c r="BG9">
        <v>10.050000000000001</v>
      </c>
      <c r="BH9">
        <v>29.95</v>
      </c>
      <c r="BI9">
        <v>14.72</v>
      </c>
      <c r="BJ9">
        <v>0.35693200745394882</v>
      </c>
      <c r="BK9">
        <v>0</v>
      </c>
      <c r="BL9">
        <v>0</v>
      </c>
      <c r="BM9">
        <v>0.10249179570903215</v>
      </c>
      <c r="BN9">
        <v>9.7445538349906838E-2</v>
      </c>
      <c r="BO9">
        <v>6.7613252197430695E-4</v>
      </c>
      <c r="BP9">
        <v>8.2290275235409552E-3</v>
      </c>
      <c r="BQ9">
        <v>2.2658685004699947E-2</v>
      </c>
      <c r="BR9">
        <v>0.10277214334009466</v>
      </c>
      <c r="BS9">
        <v>5.953264400798167E-3</v>
      </c>
      <c r="BT9">
        <v>5.8873002523128683E-3</v>
      </c>
      <c r="BU9">
        <v>1.7414535200118736E-2</v>
      </c>
      <c r="BV9">
        <v>2.5445670278203797E-2</v>
      </c>
      <c r="BW9">
        <v>1.2797044806147859E-2</v>
      </c>
      <c r="BX9">
        <v>1.7645409719817279E-2</v>
      </c>
      <c r="BY9">
        <v>0.1334124903115157</v>
      </c>
      <c r="BZ9">
        <v>1.6573492306931184E-2</v>
      </c>
      <c r="CA9">
        <v>4.9390656178367055E-2</v>
      </c>
      <c r="CB9">
        <v>2.4274806642589755E-2</v>
      </c>
      <c r="CC9">
        <v>606.39</v>
      </c>
      <c r="CD9">
        <v>416.63</v>
      </c>
      <c r="CE9">
        <v>184.97</v>
      </c>
      <c r="CF9">
        <v>2.72</v>
      </c>
      <c r="CG9">
        <v>20.57</v>
      </c>
      <c r="CH9">
        <v>9.19</v>
      </c>
      <c r="CI9">
        <v>10.61</v>
      </c>
      <c r="CJ9">
        <v>0</v>
      </c>
      <c r="CK9">
        <v>0.68706607958574517</v>
      </c>
      <c r="CL9">
        <v>0.30503471363314039</v>
      </c>
      <c r="CM9">
        <v>4.4855620970002804E-3</v>
      </c>
      <c r="CN9">
        <v>0.44676713660670875</v>
      </c>
      <c r="CO9">
        <v>0.51579970831307731</v>
      </c>
      <c r="CP9">
        <v>0</v>
      </c>
    </row>
    <row r="10" spans="1:94" x14ac:dyDescent="0.15">
      <c r="A10" t="s">
        <v>438</v>
      </c>
      <c r="B10" t="s">
        <v>432</v>
      </c>
      <c r="C10" t="s">
        <v>439</v>
      </c>
      <c r="D10">
        <v>355.98999999999995</v>
      </c>
      <c r="E10">
        <v>239.2</v>
      </c>
      <c r="F10">
        <v>82.449999999999989</v>
      </c>
      <c r="G10">
        <v>80.44</v>
      </c>
      <c r="H10">
        <v>0.67192898676929136</v>
      </c>
      <c r="I10">
        <v>0.23160762942779292</v>
      </c>
      <c r="J10">
        <v>0.22596140341020818</v>
      </c>
      <c r="K10">
        <v>792.81</v>
      </c>
      <c r="L10">
        <v>171.67</v>
      </c>
      <c r="M10">
        <v>153.47000000000003</v>
      </c>
      <c r="N10">
        <v>465.36999999999995</v>
      </c>
      <c r="O10">
        <v>0.21653359569127534</v>
      </c>
      <c r="P10">
        <v>0.19357727576594649</v>
      </c>
      <c r="Q10">
        <v>0.58698805514562125</v>
      </c>
      <c r="R10">
        <v>792.81</v>
      </c>
      <c r="S10">
        <v>36.97</v>
      </c>
      <c r="T10">
        <v>28.64</v>
      </c>
      <c r="U10">
        <v>11.01</v>
      </c>
      <c r="V10">
        <v>2.84</v>
      </c>
      <c r="W10">
        <v>79.460000000000008</v>
      </c>
      <c r="X10">
        <v>371.52</v>
      </c>
      <c r="Y10">
        <v>13.409999999999998</v>
      </c>
      <c r="Z10">
        <v>17.149999999999999</v>
      </c>
      <c r="AA10">
        <v>4.91</v>
      </c>
      <c r="AB10">
        <v>1.42</v>
      </c>
      <c r="AC10">
        <v>36.89</v>
      </c>
      <c r="AD10">
        <v>421.28999999999996</v>
      </c>
      <c r="AE10">
        <v>23.56</v>
      </c>
      <c r="AF10">
        <v>11.49</v>
      </c>
      <c r="AG10">
        <v>6.1</v>
      </c>
      <c r="AH10">
        <v>1.42</v>
      </c>
      <c r="AI10">
        <v>42.57</v>
      </c>
      <c r="AJ10">
        <v>0.1002257791904744</v>
      </c>
      <c r="AK10">
        <v>0.36043292222501883</v>
      </c>
      <c r="AL10">
        <v>0.1385602819028442</v>
      </c>
      <c r="AM10">
        <v>3.5741253460860808E-2</v>
      </c>
      <c r="AN10">
        <v>0.46425874653913918</v>
      </c>
      <c r="AO10">
        <v>0.53574125346086077</v>
      </c>
      <c r="AP10">
        <v>417.77</v>
      </c>
      <c r="AQ10">
        <v>140.24</v>
      </c>
      <c r="AR10">
        <v>0</v>
      </c>
      <c r="AS10">
        <v>0</v>
      </c>
      <c r="AT10">
        <v>51.489999999999995</v>
      </c>
      <c r="AU10">
        <v>34.47</v>
      </c>
      <c r="AV10">
        <v>0.71</v>
      </c>
      <c r="AW10">
        <v>2.09</v>
      </c>
      <c r="AX10">
        <v>10.34</v>
      </c>
      <c r="AY10">
        <v>35.159999999999997</v>
      </c>
      <c r="AZ10">
        <v>2.59</v>
      </c>
      <c r="BA10">
        <v>2.59</v>
      </c>
      <c r="BB10">
        <v>10.84</v>
      </c>
      <c r="BC10">
        <v>8.17</v>
      </c>
      <c r="BD10">
        <v>6.12</v>
      </c>
      <c r="BE10">
        <v>9.9</v>
      </c>
      <c r="BF10">
        <v>57.379999999999995</v>
      </c>
      <c r="BG10">
        <v>7.27</v>
      </c>
      <c r="BH10">
        <v>24.73</v>
      </c>
      <c r="BI10">
        <v>13.68</v>
      </c>
      <c r="BJ10">
        <v>0.33568710055772316</v>
      </c>
      <c r="BK10">
        <v>0</v>
      </c>
      <c r="BL10">
        <v>0</v>
      </c>
      <c r="BM10">
        <v>0.12324963496660842</v>
      </c>
      <c r="BN10">
        <v>8.2509514804796902E-2</v>
      </c>
      <c r="BO10">
        <v>1.6994997247289179E-3</v>
      </c>
      <c r="BP10">
        <v>5.0027527108217435E-3</v>
      </c>
      <c r="BQ10">
        <v>2.4750460779854946E-2</v>
      </c>
      <c r="BR10">
        <v>8.41611412978433E-2</v>
      </c>
      <c r="BS10">
        <v>6.1995835028843625E-3</v>
      </c>
      <c r="BT10">
        <v>6.1995835028843625E-3</v>
      </c>
      <c r="BU10">
        <v>2.5947291571917563E-2</v>
      </c>
      <c r="BV10">
        <v>1.9556215142303181E-2</v>
      </c>
      <c r="BW10">
        <v>1.4649208894846447E-2</v>
      </c>
      <c r="BX10">
        <v>2.369724968283984E-2</v>
      </c>
      <c r="BY10">
        <v>0.13734830169710605</v>
      </c>
      <c r="BZ10">
        <v>1.7401919716590469E-2</v>
      </c>
      <c r="CA10">
        <v>5.9195250975417099E-2</v>
      </c>
      <c r="CB10">
        <v>3.2745290470833237E-2</v>
      </c>
      <c r="CC10">
        <v>417.77</v>
      </c>
      <c r="CD10">
        <v>275.77</v>
      </c>
      <c r="CE10">
        <v>139.42999999999998</v>
      </c>
      <c r="CF10">
        <v>1.4</v>
      </c>
      <c r="CG10">
        <v>14.79</v>
      </c>
      <c r="CH10">
        <v>6.33</v>
      </c>
      <c r="CI10">
        <v>8.23</v>
      </c>
      <c r="CJ10">
        <v>0</v>
      </c>
      <c r="CK10">
        <v>0.66010005505421643</v>
      </c>
      <c r="CL10">
        <v>0.33374823467458165</v>
      </c>
      <c r="CM10">
        <v>3.351126217775331E-3</v>
      </c>
      <c r="CN10">
        <v>0.42799188640973634</v>
      </c>
      <c r="CO10">
        <v>0.55645706558485464</v>
      </c>
      <c r="CP10">
        <v>0</v>
      </c>
    </row>
    <row r="11" spans="1:94" x14ac:dyDescent="0.15">
      <c r="A11" t="s">
        <v>440</v>
      </c>
      <c r="B11" t="s">
        <v>432</v>
      </c>
      <c r="C11" t="s">
        <v>441</v>
      </c>
      <c r="D11">
        <v>569.28</v>
      </c>
      <c r="E11">
        <v>364.8</v>
      </c>
      <c r="F11">
        <v>127.67999999999999</v>
      </c>
      <c r="G11">
        <v>113.28</v>
      </c>
      <c r="H11">
        <v>0.64080944350758862</v>
      </c>
      <c r="I11">
        <v>0.22428330522765599</v>
      </c>
      <c r="J11">
        <v>0.19898819561551434</v>
      </c>
      <c r="K11">
        <v>1276.8</v>
      </c>
      <c r="L11">
        <v>248.64</v>
      </c>
      <c r="M11">
        <v>240.95999999999998</v>
      </c>
      <c r="N11">
        <v>783.36</v>
      </c>
      <c r="O11">
        <v>0.19473684210526315</v>
      </c>
      <c r="P11">
        <v>0.18872180451127818</v>
      </c>
      <c r="Q11">
        <v>0.61353383458646615</v>
      </c>
      <c r="R11">
        <v>1276.8</v>
      </c>
      <c r="S11">
        <v>52.8</v>
      </c>
      <c r="T11">
        <v>43.199999999999996</v>
      </c>
      <c r="U11">
        <v>12.48</v>
      </c>
      <c r="V11">
        <v>0.96</v>
      </c>
      <c r="W11">
        <v>109.44</v>
      </c>
      <c r="X11">
        <v>602.88</v>
      </c>
      <c r="Y11">
        <v>28.799999999999997</v>
      </c>
      <c r="Z11">
        <v>20.16</v>
      </c>
      <c r="AA11">
        <v>8.64</v>
      </c>
      <c r="AB11">
        <v>0.96</v>
      </c>
      <c r="AC11">
        <v>58.559999999999995</v>
      </c>
      <c r="AD11">
        <v>673.92</v>
      </c>
      <c r="AE11">
        <v>24</v>
      </c>
      <c r="AF11">
        <v>23.04</v>
      </c>
      <c r="AG11">
        <v>3.84</v>
      </c>
      <c r="AH11">
        <v>0</v>
      </c>
      <c r="AI11">
        <v>50.879999999999995</v>
      </c>
      <c r="AJ11">
        <v>8.5714285714285715E-2</v>
      </c>
      <c r="AK11">
        <v>0.39473684210526311</v>
      </c>
      <c r="AL11">
        <v>0.11403508771929825</v>
      </c>
      <c r="AM11">
        <v>8.771929824561403E-3</v>
      </c>
      <c r="AN11">
        <v>0.53508771929824561</v>
      </c>
      <c r="AO11">
        <v>0.46491228070175433</v>
      </c>
      <c r="AP11">
        <v>723.83999999999992</v>
      </c>
      <c r="AQ11">
        <v>256.32</v>
      </c>
      <c r="AR11">
        <v>0</v>
      </c>
      <c r="AS11">
        <v>0</v>
      </c>
      <c r="AT11">
        <v>63.36</v>
      </c>
      <c r="AU11">
        <v>85.44</v>
      </c>
      <c r="AV11">
        <v>2.88</v>
      </c>
      <c r="AW11">
        <v>1.92</v>
      </c>
      <c r="AX11">
        <v>25.919999999999998</v>
      </c>
      <c r="AY11">
        <v>83.52</v>
      </c>
      <c r="AZ11">
        <v>4.8</v>
      </c>
      <c r="BA11">
        <v>3.84</v>
      </c>
      <c r="BB11">
        <v>9.6</v>
      </c>
      <c r="BC11">
        <v>14.399999999999999</v>
      </c>
      <c r="BD11">
        <v>21.119999999999997</v>
      </c>
      <c r="BE11">
        <v>14.399999999999999</v>
      </c>
      <c r="BF11">
        <v>78.72</v>
      </c>
      <c r="BG11">
        <v>7.68</v>
      </c>
      <c r="BH11">
        <v>40.32</v>
      </c>
      <c r="BI11">
        <v>9.6</v>
      </c>
      <c r="BJ11">
        <v>0.35411140583554379</v>
      </c>
      <c r="BK11">
        <v>0</v>
      </c>
      <c r="BL11">
        <v>0</v>
      </c>
      <c r="BM11">
        <v>8.7533156498673756E-2</v>
      </c>
      <c r="BN11">
        <v>0.1180371352785146</v>
      </c>
      <c r="BO11">
        <v>3.9787798408488064E-3</v>
      </c>
      <c r="BP11">
        <v>2.6525198938992045E-3</v>
      </c>
      <c r="BQ11">
        <v>3.580901856763926E-2</v>
      </c>
      <c r="BR11">
        <v>0.11538461538461539</v>
      </c>
      <c r="BS11">
        <v>6.6312997347480109E-3</v>
      </c>
      <c r="BT11">
        <v>5.3050397877984091E-3</v>
      </c>
      <c r="BU11">
        <v>1.3262599469496022E-2</v>
      </c>
      <c r="BV11">
        <v>1.9893899204244031E-2</v>
      </c>
      <c r="BW11">
        <v>2.9177718832891247E-2</v>
      </c>
      <c r="BX11">
        <v>1.9893899204244031E-2</v>
      </c>
      <c r="BY11">
        <v>0.10875331564986739</v>
      </c>
      <c r="BZ11">
        <v>1.0610079575596818E-2</v>
      </c>
      <c r="CA11">
        <v>5.5702917771883298E-2</v>
      </c>
      <c r="CB11">
        <v>1.3262599469496022E-2</v>
      </c>
      <c r="CC11">
        <v>723.83999999999992</v>
      </c>
      <c r="CD11">
        <v>465.59999999999997</v>
      </c>
      <c r="CE11">
        <v>249.6</v>
      </c>
      <c r="CF11">
        <v>2.88</v>
      </c>
      <c r="CG11">
        <v>32.64</v>
      </c>
      <c r="CH11">
        <v>12.48</v>
      </c>
      <c r="CI11">
        <v>20.16</v>
      </c>
      <c r="CJ11">
        <v>0</v>
      </c>
      <c r="CK11">
        <v>0.64323607427055707</v>
      </c>
      <c r="CL11">
        <v>0.34482758620689657</v>
      </c>
      <c r="CM11">
        <v>3.9787798408488064E-3</v>
      </c>
      <c r="CN11">
        <v>0.38235294117647062</v>
      </c>
      <c r="CO11">
        <v>0.61764705882352944</v>
      </c>
      <c r="CP11">
        <v>0</v>
      </c>
    </row>
    <row r="12" spans="1:94" x14ac:dyDescent="0.15">
      <c r="A12" t="s">
        <v>429</v>
      </c>
      <c r="B12" t="s">
        <v>432</v>
      </c>
      <c r="C12" t="s">
        <v>442</v>
      </c>
      <c r="D12">
        <v>2173.0299999999997</v>
      </c>
      <c r="E12">
        <v>1174.52</v>
      </c>
      <c r="F12">
        <v>431.93</v>
      </c>
      <c r="G12">
        <v>356.05</v>
      </c>
      <c r="H12">
        <v>0.54049875059249075</v>
      </c>
      <c r="I12">
        <v>0.19876853978085901</v>
      </c>
      <c r="J12">
        <v>0.16384955568952111</v>
      </c>
      <c r="K12">
        <v>5574.32</v>
      </c>
      <c r="L12">
        <v>645.54</v>
      </c>
      <c r="M12">
        <v>1827.56</v>
      </c>
      <c r="N12">
        <v>3029.1400000000003</v>
      </c>
      <c r="O12">
        <v>0.11580605347378693</v>
      </c>
      <c r="P12">
        <v>0.32785344221357943</v>
      </c>
      <c r="Q12">
        <v>0.54340977913001054</v>
      </c>
      <c r="R12">
        <v>5574.32</v>
      </c>
      <c r="S12">
        <v>615.94000000000005</v>
      </c>
      <c r="T12">
        <v>420.65999999999997</v>
      </c>
      <c r="U12">
        <v>97.97</v>
      </c>
      <c r="V12">
        <v>53.480000000000004</v>
      </c>
      <c r="W12">
        <v>1188.05</v>
      </c>
      <c r="X12">
        <v>2572.31</v>
      </c>
      <c r="Y12">
        <v>259.8</v>
      </c>
      <c r="Z12">
        <v>189.06</v>
      </c>
      <c r="AA12">
        <v>45.67</v>
      </c>
      <c r="AB12">
        <v>24.16</v>
      </c>
      <c r="AC12">
        <v>518.69000000000005</v>
      </c>
      <c r="AD12">
        <v>3002.01</v>
      </c>
      <c r="AE12">
        <v>356.14</v>
      </c>
      <c r="AF12">
        <v>231.6</v>
      </c>
      <c r="AG12">
        <v>52.3</v>
      </c>
      <c r="AH12">
        <v>29.32</v>
      </c>
      <c r="AI12">
        <v>669.36</v>
      </c>
      <c r="AJ12">
        <v>0.21312913503351083</v>
      </c>
      <c r="AK12">
        <v>0.35407600690206642</v>
      </c>
      <c r="AL12">
        <v>8.246285930726821E-2</v>
      </c>
      <c r="AM12">
        <v>4.501494044863432E-2</v>
      </c>
      <c r="AN12">
        <v>0.43658936913429575</v>
      </c>
      <c r="AO12">
        <v>0.56341063086570431</v>
      </c>
      <c r="AP12">
        <v>2742.56</v>
      </c>
      <c r="AQ12">
        <v>364.7</v>
      </c>
      <c r="AR12">
        <v>0.16</v>
      </c>
      <c r="AS12">
        <v>0</v>
      </c>
      <c r="AT12">
        <v>328.17</v>
      </c>
      <c r="AU12">
        <v>368.68</v>
      </c>
      <c r="AV12">
        <v>8.75</v>
      </c>
      <c r="AW12">
        <v>22.509999999999998</v>
      </c>
      <c r="AX12">
        <v>94.06</v>
      </c>
      <c r="AY12">
        <v>380.17</v>
      </c>
      <c r="AZ12">
        <v>36.870000000000005</v>
      </c>
      <c r="BA12">
        <v>28.490000000000002</v>
      </c>
      <c r="BB12">
        <v>55.11</v>
      </c>
      <c r="BC12">
        <v>103.47999999999999</v>
      </c>
      <c r="BD12">
        <v>87.69</v>
      </c>
      <c r="BE12">
        <v>83.98</v>
      </c>
      <c r="BF12">
        <v>482</v>
      </c>
      <c r="BG12">
        <v>39.33</v>
      </c>
      <c r="BH12">
        <v>153.20999999999998</v>
      </c>
      <c r="BI12">
        <v>100.39</v>
      </c>
      <c r="BJ12">
        <v>0.13297794761099119</v>
      </c>
      <c r="BK12">
        <v>5.8339653462458439E-5</v>
      </c>
      <c r="BL12">
        <v>0</v>
      </c>
      <c r="BM12">
        <v>0.11965827547984366</v>
      </c>
      <c r="BN12">
        <v>0.13442914649086984</v>
      </c>
      <c r="BO12">
        <v>3.1904497987281957E-3</v>
      </c>
      <c r="BP12">
        <v>8.2076599964996198E-3</v>
      </c>
      <c r="BQ12">
        <v>3.4296423779242753E-2</v>
      </c>
      <c r="BR12">
        <v>0.13861866285514265</v>
      </c>
      <c r="BS12">
        <v>1.3443643894755266E-2</v>
      </c>
      <c r="BT12">
        <v>1.0388104544659006E-2</v>
      </c>
      <c r="BU12">
        <v>2.0094364389475528E-2</v>
      </c>
      <c r="BV12">
        <v>3.7731170876844987E-2</v>
      </c>
      <c r="BW12">
        <v>3.1973776325768623E-2</v>
      </c>
      <c r="BX12">
        <v>3.0621025611107872E-2</v>
      </c>
      <c r="BY12">
        <v>0.17574820605565603</v>
      </c>
      <c r="BZ12">
        <v>1.4340616066740563E-2</v>
      </c>
      <c r="CA12">
        <v>5.5863864418645347E-2</v>
      </c>
      <c r="CB12">
        <v>3.6604486319351266E-2</v>
      </c>
      <c r="CC12">
        <v>2742.56</v>
      </c>
      <c r="CD12">
        <v>1465.7</v>
      </c>
      <c r="CE12">
        <v>1256.3699999999999</v>
      </c>
      <c r="CF12">
        <v>8.2199999999999989</v>
      </c>
      <c r="CG12">
        <v>208.16</v>
      </c>
      <c r="CH12">
        <v>66.36</v>
      </c>
      <c r="CI12">
        <v>133.26</v>
      </c>
      <c r="CJ12">
        <v>4.96</v>
      </c>
      <c r="CK12">
        <v>0.53442768799953333</v>
      </c>
      <c r="CL12">
        <v>0.45810119012893058</v>
      </c>
      <c r="CM12">
        <v>2.9971996966338017E-3</v>
      </c>
      <c r="CN12">
        <v>0.318793235972329</v>
      </c>
      <c r="CO12">
        <v>0.64018063028439653</v>
      </c>
      <c r="CP12">
        <v>2.3827824750192159E-2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木脇小学校区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5575</v>
      </c>
      <c r="F6" s="256"/>
      <c r="G6" s="20" t="s">
        <v>54</v>
      </c>
    </row>
    <row r="7" spans="1:10" ht="22.5" customHeight="1" x14ac:dyDescent="0.15">
      <c r="A7" s="248">
        <f>管理者用グラフシート!B4</f>
        <v>2010</v>
      </c>
      <c r="B7" s="248"/>
      <c r="C7" s="82" t="s">
        <v>226</v>
      </c>
      <c r="D7" s="250">
        <f>E6-管理者用グラフシート!E4</f>
        <v>-443</v>
      </c>
      <c r="E7" s="250"/>
      <c r="F7" s="20" t="s">
        <v>356</v>
      </c>
    </row>
    <row r="8" spans="1:10" ht="22.5" customHeight="1" x14ac:dyDescent="0.15">
      <c r="A8" s="247" t="s">
        <v>380</v>
      </c>
      <c r="B8" s="247"/>
      <c r="C8" s="203">
        <f>管理者用グラフシート!C6-管理者用グラフシート!C4</f>
        <v>-216</v>
      </c>
      <c r="D8" s="206" t="s">
        <v>381</v>
      </c>
      <c r="F8" s="203">
        <f>管理者用グラフシート!D6-管理者用グラフシート!D4</f>
        <v>-227</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296</v>
      </c>
      <c r="G36" s="249"/>
      <c r="H36" s="20" t="s">
        <v>54</v>
      </c>
    </row>
    <row r="37" spans="1:9" ht="22.5" customHeight="1" x14ac:dyDescent="0.15">
      <c r="A37" s="20" t="s">
        <v>66</v>
      </c>
      <c r="F37" s="249">
        <f>管理者用グラフシート!C16</f>
        <v>145</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-11</v>
      </c>
      <c r="E40" s="250"/>
      <c r="F40" s="20" t="s">
        <v>60</v>
      </c>
    </row>
    <row r="41" spans="1:9" ht="22.5" customHeight="1" x14ac:dyDescent="0.15">
      <c r="B41" s="20" t="s">
        <v>69</v>
      </c>
      <c r="D41" s="250">
        <f>F37-管理者用グラフシート!C14</f>
        <v>-19</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2091</v>
      </c>
      <c r="D70" s="249"/>
      <c r="E70" s="20" t="s">
        <v>76</v>
      </c>
      <c r="F70" s="37"/>
      <c r="G70" s="254">
        <f>管理者用グラフシート!C32</f>
        <v>0.38</v>
      </c>
      <c r="H70" s="254"/>
      <c r="I70" s="20" t="s">
        <v>77</v>
      </c>
    </row>
    <row r="71" spans="1:9" ht="22.5" customHeight="1" x14ac:dyDescent="0.15">
      <c r="A71" s="20" t="s">
        <v>78</v>
      </c>
      <c r="C71" s="249">
        <f>管理者用グラフシート!C26</f>
        <v>1095</v>
      </c>
      <c r="D71" s="249"/>
      <c r="E71" s="20" t="s">
        <v>76</v>
      </c>
      <c r="F71" s="37"/>
      <c r="G71" s="254">
        <f>管理者用グラフシート!C36</f>
        <v>0.2</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-237</v>
      </c>
      <c r="G135" s="207" t="s">
        <v>386</v>
      </c>
      <c r="H135" s="111"/>
    </row>
    <row r="136" spans="1:8" ht="22.5" customHeight="1" x14ac:dyDescent="0.15">
      <c r="A136" s="35" t="s">
        <v>387</v>
      </c>
      <c r="C136" s="205">
        <f>SUM(管理者用グラフシート!B95:C96)-SUM(管理者用グラフシート!B47:C48)</f>
        <v>-35</v>
      </c>
      <c r="D136" s="20" t="s">
        <v>388</v>
      </c>
      <c r="E136" s="34"/>
      <c r="F136" s="205">
        <f>SUM(管理者用グラフシート!B97:C98)-SUM(管理者用グラフシート!B49:C50)</f>
        <v>-43</v>
      </c>
      <c r="G136" s="20" t="s">
        <v>386</v>
      </c>
    </row>
    <row r="137" spans="1:8" ht="18.75" x14ac:dyDescent="0.15">
      <c r="A137" s="20" t="s">
        <v>389</v>
      </c>
      <c r="C137" s="205">
        <f>SUM(管理者用グラフシート!B99:C100)-SUM(管理者用グラフシート!B51:C52)</f>
        <v>-379</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木脇小学校区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4903</v>
      </c>
      <c r="E6" s="249"/>
      <c r="F6" s="20" t="s">
        <v>231</v>
      </c>
      <c r="H6" s="34"/>
      <c r="I6" s="34"/>
    </row>
    <row r="7" spans="1:9" ht="22.5" customHeight="1" x14ac:dyDescent="0.15">
      <c r="A7" s="248">
        <f>管理者入力シート!B5</f>
        <v>2020</v>
      </c>
      <c r="B7" s="248"/>
      <c r="C7" s="195" t="s">
        <v>362</v>
      </c>
      <c r="D7" s="250">
        <f>D6-現況シート!E6</f>
        <v>-672</v>
      </c>
      <c r="E7" s="250"/>
      <c r="F7" s="20" t="s">
        <v>232</v>
      </c>
      <c r="I7" s="34"/>
    </row>
    <row r="8" spans="1:9" ht="22.5" customHeight="1" x14ac:dyDescent="0.15">
      <c r="A8" s="247" t="s">
        <v>397</v>
      </c>
      <c r="B8" s="247"/>
      <c r="C8" s="205">
        <f>管理者用グラフシート!I8-管理者用グラフシート!C6</f>
        <v>-321</v>
      </c>
      <c r="D8" s="206" t="s">
        <v>398</v>
      </c>
      <c r="F8" s="260">
        <f>管理者用グラフシート!J8-管理者用グラフシート!D6</f>
        <v>-351</v>
      </c>
      <c r="G8" s="260"/>
      <c r="H8" s="20" t="s">
        <v>399</v>
      </c>
    </row>
    <row r="10" spans="1:9" ht="22.5" customHeight="1" x14ac:dyDescent="0.15">
      <c r="A10" s="248">
        <f>管理者入力シート!B11</f>
        <v>2040</v>
      </c>
      <c r="B10" s="248"/>
      <c r="C10" s="20" t="s">
        <v>361</v>
      </c>
      <c r="D10" s="249">
        <f>管理者用グラフシート!K10</f>
        <v>4135</v>
      </c>
      <c r="E10" s="249"/>
      <c r="F10" s="20" t="s">
        <v>231</v>
      </c>
      <c r="H10" s="34"/>
    </row>
    <row r="11" spans="1:9" ht="22.5" customHeight="1" x14ac:dyDescent="0.15">
      <c r="A11" s="248">
        <f>管理者入力シート!B5</f>
        <v>2020</v>
      </c>
      <c r="B11" s="248"/>
      <c r="C11" s="195" t="s">
        <v>362</v>
      </c>
      <c r="D11" s="250">
        <f>D10-現況シート!E6</f>
        <v>-1440</v>
      </c>
      <c r="E11" s="250"/>
      <c r="F11" s="20" t="s">
        <v>232</v>
      </c>
      <c r="H11" s="34"/>
    </row>
    <row r="12" spans="1:9" ht="22.5" customHeight="1" x14ac:dyDescent="0.15">
      <c r="A12" s="247" t="s">
        <v>397</v>
      </c>
      <c r="B12" s="247"/>
      <c r="C12" s="205">
        <f>管理者用グラフシート!I10-管理者用グラフシート!C6</f>
        <v>-698</v>
      </c>
      <c r="D12" s="206" t="s">
        <v>398</v>
      </c>
      <c r="F12" s="260">
        <f>管理者用グラフシート!J10-管理者用グラフシート!D6</f>
        <v>-742</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165</v>
      </c>
      <c r="G36" s="249"/>
      <c r="H36" s="82" t="s">
        <v>233</v>
      </c>
      <c r="I36" s="34"/>
    </row>
    <row r="37" spans="1:9" ht="22.5" customHeight="1" x14ac:dyDescent="0.15">
      <c r="A37" s="20" t="s">
        <v>234</v>
      </c>
      <c r="F37" s="249">
        <f>管理者用グラフシート!I28</f>
        <v>88</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-131</v>
      </c>
      <c r="G40" s="250"/>
      <c r="H40" s="35" t="s">
        <v>60</v>
      </c>
    </row>
    <row r="41" spans="1:9" ht="22.5" customHeight="1" x14ac:dyDescent="0.15">
      <c r="A41" s="20" t="s">
        <v>69</v>
      </c>
      <c r="C41" s="199">
        <f>管理者入力シート!B5</f>
        <v>2020</v>
      </c>
      <c r="D41" s="20" t="s">
        <v>374</v>
      </c>
      <c r="F41" s="250">
        <f>F37-現況シート!F37</f>
        <v>-57</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1860</v>
      </c>
      <c r="D70" s="249"/>
      <c r="E70" s="82" t="s">
        <v>239</v>
      </c>
      <c r="F70" s="34"/>
      <c r="G70" s="254">
        <f>管理者用グラフシート!I56</f>
        <v>0.45</v>
      </c>
      <c r="H70" s="254"/>
      <c r="I70" s="110" t="s">
        <v>240</v>
      </c>
    </row>
    <row r="71" spans="1:9" ht="22.5" customHeight="1" x14ac:dyDescent="0.15">
      <c r="A71" s="20" t="s">
        <v>241</v>
      </c>
      <c r="C71" s="249">
        <f>管理者用グラフシート!I46</f>
        <v>1320</v>
      </c>
      <c r="D71" s="249"/>
      <c r="E71" s="20" t="s">
        <v>239</v>
      </c>
      <c r="G71" s="258">
        <f>管理者用グラフシート!I64</f>
        <v>0.32</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7ポイント上昇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12ポイント上昇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-40</v>
      </c>
      <c r="H103" s="207" t="s">
        <v>60</v>
      </c>
    </row>
    <row r="104" spans="1:8" ht="22.5" customHeight="1" x14ac:dyDescent="0.15">
      <c r="A104" s="35" t="s">
        <v>387</v>
      </c>
      <c r="C104" s="205">
        <f>SUM(管理者用グラフシート!H99:I100)-SUM(管理者用グラフシート!B95:C96)</f>
        <v>-236</v>
      </c>
      <c r="D104" s="20" t="s">
        <v>423</v>
      </c>
      <c r="E104" s="34"/>
      <c r="G104" s="205">
        <f>SUM(管理者用グラフシート!H101:I102)-SUM(管理者用グラフシート!B97:C98)</f>
        <v>-27</v>
      </c>
      <c r="H104" s="20" t="s">
        <v>60</v>
      </c>
    </row>
    <row r="105" spans="1:8" ht="22.5" customHeight="1" x14ac:dyDescent="0.15">
      <c r="A105" s="20" t="s">
        <v>389</v>
      </c>
      <c r="C105" s="205">
        <f>SUM(管理者用グラフシート!H103:I104)-SUM(管理者用グラフシート!B99:C100)</f>
        <v>-25</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-65</v>
      </c>
      <c r="H137" s="207" t="s">
        <v>60</v>
      </c>
    </row>
    <row r="138" spans="1:8" ht="22.5" customHeight="1" x14ac:dyDescent="0.15">
      <c r="A138" s="35" t="s">
        <v>387</v>
      </c>
      <c r="C138" s="205">
        <f>SUM(管理者用グラフシート!H147:I148)-SUM(管理者用グラフシート!B95:C96)</f>
        <v>-278</v>
      </c>
      <c r="D138" s="20" t="s">
        <v>423</v>
      </c>
      <c r="E138" s="34"/>
      <c r="G138" s="205">
        <f>SUM(管理者用グラフシート!H149:I150)-SUM(管理者用グラフシート!B97:C98)</f>
        <v>-277</v>
      </c>
      <c r="H138" s="20" t="s">
        <v>60</v>
      </c>
    </row>
    <row r="139" spans="1:8" ht="22.5" customHeight="1" x14ac:dyDescent="0.15">
      <c r="A139" s="20" t="s">
        <v>389</v>
      </c>
      <c r="C139" s="205">
        <f>SUM(管理者用グラフシート!H151:I152)-SUM(管理者用グラフシート!B99:C100)</f>
        <v>-54</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木脇小学校区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5559</v>
      </c>
      <c r="I36" s="266"/>
    </row>
    <row r="37" spans="1:9" s="130" customFormat="1" ht="17.25" customHeight="1" x14ac:dyDescent="0.15">
      <c r="A37" s="165"/>
      <c r="B37" s="225" t="s">
        <v>5</v>
      </c>
      <c r="C37" s="226">
        <f>管理者用人口入力シート!DX1</f>
        <v>50</v>
      </c>
      <c r="D37" s="227">
        <f>C37</f>
        <v>50</v>
      </c>
      <c r="F37" s="162"/>
      <c r="G37" s="237">
        <f>管理者入力シート!B9</f>
        <v>2030</v>
      </c>
      <c r="H37" s="265">
        <f>管理者用人口入力シート!EU25</f>
        <v>5608</v>
      </c>
      <c r="I37" s="266"/>
    </row>
    <row r="38" spans="1:9" s="132" customFormat="1" ht="17.25" customHeight="1" x14ac:dyDescent="0.15">
      <c r="A38" s="160"/>
      <c r="B38" s="225" t="s">
        <v>6</v>
      </c>
      <c r="C38" s="226">
        <f>C37</f>
        <v>50</v>
      </c>
      <c r="D38" s="227">
        <f>C37</f>
        <v>50</v>
      </c>
      <c r="F38" s="162"/>
      <c r="G38" s="237">
        <f>管理者入力シート!B10</f>
        <v>2035</v>
      </c>
      <c r="H38" s="265">
        <f>管理者用人口入力シート!EU28</f>
        <v>5682</v>
      </c>
      <c r="I38" s="266"/>
    </row>
    <row r="39" spans="1:9" ht="17.25" customHeight="1" thickBot="1" x14ac:dyDescent="0.2">
      <c r="A39" s="166"/>
      <c r="B39" s="228" t="s">
        <v>7</v>
      </c>
      <c r="C39" s="229">
        <f>C37</f>
        <v>50</v>
      </c>
      <c r="D39" s="230">
        <f>C37</f>
        <v>50</v>
      </c>
      <c r="F39" s="162"/>
      <c r="G39" s="238">
        <f>管理者入力シート!B11</f>
        <v>2040</v>
      </c>
      <c r="H39" s="267">
        <f>管理者用人口入力シート!EU31</f>
        <v>5757</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4923</v>
      </c>
      <c r="E43" s="249"/>
      <c r="F43" s="20" t="s">
        <v>231</v>
      </c>
      <c r="H43" s="34"/>
      <c r="I43" s="34"/>
    </row>
    <row r="44" spans="1:9" ht="22.5" customHeight="1" x14ac:dyDescent="0.15">
      <c r="A44" s="248">
        <f>管理者入力シート!B11</f>
        <v>2040</v>
      </c>
      <c r="B44" s="248"/>
      <c r="C44" s="20" t="s">
        <v>417</v>
      </c>
      <c r="D44" s="249">
        <f>管理者用グラフシート!U10</f>
        <v>4179</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20</v>
      </c>
      <c r="E46" s="256"/>
      <c r="F46" s="20" t="s">
        <v>122</v>
      </c>
    </row>
    <row r="47" spans="1:9" ht="22.5" customHeight="1" x14ac:dyDescent="0.15">
      <c r="A47" s="248">
        <f>管理者入力シート!B11</f>
        <v>2040</v>
      </c>
      <c r="B47" s="248"/>
      <c r="C47" s="20" t="s">
        <v>418</v>
      </c>
      <c r="D47" s="256">
        <f>D44-将来予測シート①!D10</f>
        <v>44</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173</v>
      </c>
      <c r="G78" s="249"/>
      <c r="H78" s="82" t="s">
        <v>264</v>
      </c>
      <c r="I78" s="34"/>
    </row>
    <row r="79" spans="1:9" ht="22.5" customHeight="1" x14ac:dyDescent="0.15">
      <c r="A79" s="20" t="s">
        <v>234</v>
      </c>
      <c r="F79" s="249">
        <f>管理者用グラフシート!Q28</f>
        <v>92</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8</v>
      </c>
      <c r="D82" s="250"/>
      <c r="E82" s="20" t="s">
        <v>60</v>
      </c>
    </row>
    <row r="83" spans="1:13" ht="22.5" customHeight="1" x14ac:dyDescent="0.15">
      <c r="A83" s="20" t="s">
        <v>69</v>
      </c>
      <c r="C83" s="250">
        <f>F79-将来予測シート①!F37</f>
        <v>4</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1860</v>
      </c>
      <c r="D112" s="249"/>
      <c r="E112" s="20" t="s">
        <v>270</v>
      </c>
      <c r="F112" s="36"/>
      <c r="G112" s="111">
        <f>管理者用グラフシート!Q56</f>
        <v>0.45</v>
      </c>
      <c r="H112" s="82" t="s">
        <v>271</v>
      </c>
      <c r="I112" s="34"/>
    </row>
    <row r="113" spans="1:9" ht="22.5" customHeight="1" x14ac:dyDescent="0.15">
      <c r="A113" s="20" t="s">
        <v>268</v>
      </c>
      <c r="C113" s="249">
        <f>管理者用グラフシート!Q46</f>
        <v>1320</v>
      </c>
      <c r="D113" s="249"/>
      <c r="E113" s="82" t="s">
        <v>270</v>
      </c>
      <c r="F113" s="34"/>
      <c r="G113" s="111">
        <f>管理者用グラフシート!Q64</f>
        <v>0.32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木脇小学校区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0.54049875059249075</v>
      </c>
      <c r="G7" s="279"/>
      <c r="H7" s="20" t="s">
        <v>282</v>
      </c>
    </row>
    <row r="8" spans="1:8" ht="22.5" customHeight="1" x14ac:dyDescent="0.15">
      <c r="A8" s="34" t="str">
        <f>管理者入力シート!B3</f>
        <v>国富町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木脇小学校区</v>
      </c>
      <c r="B11" s="251"/>
      <c r="C11" s="256">
        <f>管理者用地域特徴シート!D5</f>
        <v>2173.0299999999997</v>
      </c>
      <c r="D11" s="251"/>
      <c r="E11" s="20" t="s">
        <v>413</v>
      </c>
    </row>
    <row r="12" spans="1:8" ht="22.5" customHeight="1" x14ac:dyDescent="0.15">
      <c r="A12" s="251" t="str">
        <f>A8</f>
        <v>国富町</v>
      </c>
      <c r="B12" s="251"/>
      <c r="C12" s="256">
        <f>管理者用地域特徴シート!D4</f>
        <v>7450</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0.16384955568952111</v>
      </c>
      <c r="H23" s="35" t="s">
        <v>286</v>
      </c>
    </row>
    <row r="24" spans="1:8" ht="22.5" customHeight="1" x14ac:dyDescent="0.15">
      <c r="A24" s="34" t="str">
        <f>管理者入力シート!B3</f>
        <v>国富町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0.32785344221357943</v>
      </c>
      <c r="G37" s="279"/>
      <c r="H37" s="20" t="s">
        <v>286</v>
      </c>
    </row>
    <row r="38" spans="1:8" ht="22.5" customHeight="1" x14ac:dyDescent="0.15">
      <c r="A38" s="34" t="str">
        <f>管理者入力シート!B3</f>
        <v>国富町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国富町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1188.05</v>
      </c>
      <c r="F70" s="281"/>
      <c r="G70" s="20" t="s">
        <v>290</v>
      </c>
    </row>
    <row r="71" spans="1:8" ht="22.5" customHeight="1" x14ac:dyDescent="0.15">
      <c r="A71" s="20" t="s">
        <v>295</v>
      </c>
      <c r="F71" s="279">
        <f>管理者用地域特徴シート!AK5</f>
        <v>0.35407600690206642</v>
      </c>
      <c r="G71" s="279"/>
      <c r="H71" s="20" t="s">
        <v>271</v>
      </c>
    </row>
    <row r="72" spans="1:8" ht="22.5" customHeight="1" x14ac:dyDescent="0.15">
      <c r="A72" s="20" t="s">
        <v>296</v>
      </c>
      <c r="F72" s="279">
        <f>管理者用地域特徴シート!AL5</f>
        <v>8.246285930726821E-2</v>
      </c>
      <c r="G72" s="279"/>
      <c r="H72" s="20" t="s">
        <v>297</v>
      </c>
    </row>
    <row r="73" spans="1:8" ht="22.5" customHeight="1" x14ac:dyDescent="0.15">
      <c r="A73" s="20" t="s">
        <v>298</v>
      </c>
      <c r="E73" s="279"/>
      <c r="F73" s="279"/>
    </row>
    <row r="74" spans="1:8" ht="22.5" customHeight="1" x14ac:dyDescent="0.15">
      <c r="A74" s="20" t="s">
        <v>339</v>
      </c>
      <c r="C74" s="177">
        <f>管理者用地域特徴シート!AN5</f>
        <v>0.43658936913429575</v>
      </c>
      <c r="D74" s="156" t="s">
        <v>299</v>
      </c>
      <c r="E74" s="177">
        <f>管理者用地域特徴シート!AO5</f>
        <v>0.56341063086570431</v>
      </c>
      <c r="F74" s="20" t="s">
        <v>291</v>
      </c>
    </row>
    <row r="76" spans="1:8" ht="22.5" customHeight="1" x14ac:dyDescent="0.15">
      <c r="A76" s="34" t="str">
        <f>管理者入力シート!B3</f>
        <v>国富町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0.53442768799953333</v>
      </c>
      <c r="D139" s="279"/>
      <c r="E139" s="20" t="s">
        <v>316</v>
      </c>
      <c r="F139" s="157" t="str">
        <f>管理者入力シート!B3</f>
        <v>国富町</v>
      </c>
      <c r="G139" s="158" t="s">
        <v>317</v>
      </c>
    </row>
    <row r="140" spans="1:8" ht="22.5" customHeight="1" x14ac:dyDescent="0.15">
      <c r="A140" s="20" t="s">
        <v>318</v>
      </c>
    </row>
    <row r="141" spans="1:8" ht="22.5" customHeight="1" x14ac:dyDescent="0.15">
      <c r="C141" s="279">
        <f>管理者用地域特徴シート!CN5</f>
        <v>0.318793235972329</v>
      </c>
      <c r="D141" s="279"/>
      <c r="E141" s="20" t="s">
        <v>316</v>
      </c>
      <c r="F141" s="157" t="str">
        <f>管理者入力シート!B3</f>
        <v>国富町</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430</v>
      </c>
    </row>
    <row r="3" spans="1:3" x14ac:dyDescent="0.15">
      <c r="A3" s="202" t="s">
        <v>292</v>
      </c>
      <c r="B3" s="32" t="str">
        <f>管理者用地域特徴シート!B5</f>
        <v>国富町</v>
      </c>
    </row>
    <row r="4" spans="1:3" x14ac:dyDescent="0.15">
      <c r="A4" s="153" t="s">
        <v>24</v>
      </c>
      <c r="B4" s="154" t="str">
        <f>管理者用地域特徴シート!C5</f>
        <v>木脇小学校区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45382_6</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443</v>
      </c>
      <c r="DW1" s="288"/>
      <c r="DX1" s="283">
        <f>DW17</f>
        <v>50</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120.08</v>
      </c>
      <c r="E3" s="9">
        <v>129.99</v>
      </c>
      <c r="F3" s="9">
        <v>167.41</v>
      </c>
      <c r="G3" s="9">
        <v>174.13</v>
      </c>
      <c r="H3" s="9">
        <v>139.29</v>
      </c>
      <c r="I3" s="9">
        <v>138.04000000000002</v>
      </c>
      <c r="J3" s="9">
        <v>146.68</v>
      </c>
      <c r="K3" s="9">
        <v>125.61</v>
      </c>
      <c r="L3" s="9">
        <v>175.57999999999998</v>
      </c>
      <c r="M3" s="9">
        <v>234.07</v>
      </c>
      <c r="N3" s="9">
        <v>263.06</v>
      </c>
      <c r="O3" s="9">
        <v>264.77</v>
      </c>
      <c r="P3" s="9">
        <v>149.86000000000001</v>
      </c>
      <c r="Q3" s="9">
        <v>174.89</v>
      </c>
      <c r="R3" s="9">
        <v>162.54</v>
      </c>
      <c r="S3" s="9">
        <v>138.07999999999998</v>
      </c>
      <c r="T3" s="9">
        <v>61.65</v>
      </c>
      <c r="U3" s="9">
        <v>41.72</v>
      </c>
      <c r="V3" s="9">
        <v>17.34</v>
      </c>
      <c r="W3" s="9">
        <v>6.28</v>
      </c>
      <c r="X3" s="9">
        <v>1</v>
      </c>
      <c r="Y3" s="9">
        <f>SUM(D3:X3)</f>
        <v>2832.07</v>
      </c>
      <c r="Z3" s="9">
        <f>E3*3/5+F3*3/5</f>
        <v>178.44</v>
      </c>
      <c r="AA3" s="9">
        <f>F3*2/5+G3*1/5</f>
        <v>101.78999999999999</v>
      </c>
      <c r="AB3" s="9">
        <f t="shared" ref="AB3:AB20" si="0">SUM(Q3:X3)</f>
        <v>603.5</v>
      </c>
      <c r="AC3" s="9">
        <f>SUM(S3:X3)</f>
        <v>266.06999999999994</v>
      </c>
      <c r="AD3" s="13">
        <f>AB3/Y3</f>
        <v>0.21309501530682504</v>
      </c>
      <c r="AE3" s="13">
        <f>AC3/Y3</f>
        <v>9.3948949001966736E-2</v>
      </c>
      <c r="AF3" s="9">
        <f>SUM(H3:K3)</f>
        <v>549.62</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1.344688078751938</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0.98437549768858079</v>
      </c>
      <c r="AO3" s="6">
        <f t="shared" si="1"/>
        <v>0.83683585971695418</v>
      </c>
      <c r="AP3" s="6">
        <f t="shared" si="1"/>
        <v>0.6624389763195716</v>
      </c>
      <c r="AQ3" s="6">
        <f t="shared" si="1"/>
        <v>0.95937882257720919</v>
      </c>
      <c r="AR3" s="6">
        <f t="shared" si="1"/>
        <v>1.0975587015145378</v>
      </c>
      <c r="AS3" s="6">
        <f t="shared" si="1"/>
        <v>1.119438032897381</v>
      </c>
      <c r="AT3" s="6">
        <f t="shared" si="1"/>
        <v>1.0690635448576853</v>
      </c>
      <c r="AU3" s="6">
        <f t="shared" si="1"/>
        <v>1.0305744033442104</v>
      </c>
      <c r="AV3" s="6">
        <f t="shared" si="1"/>
        <v>1.0303310873852289</v>
      </c>
      <c r="AW3" s="6">
        <f t="shared" si="1"/>
        <v>0.92563931245515862</v>
      </c>
      <c r="AX3" s="6">
        <f t="shared" si="1"/>
        <v>1.0137241626643807</v>
      </c>
      <c r="AY3" s="6">
        <f t="shared" si="1"/>
        <v>0.95554476175925529</v>
      </c>
      <c r="AZ3" s="6">
        <f t="shared" si="1"/>
        <v>0.93455517801076282</v>
      </c>
      <c r="BA3" s="6">
        <f t="shared" si="1"/>
        <v>0.89841501087930453</v>
      </c>
      <c r="BB3" s="6">
        <f t="shared" si="1"/>
        <v>0.81635882762450085</v>
      </c>
      <c r="BC3" s="6">
        <f t="shared" si="1"/>
        <v>0.72746967472855817</v>
      </c>
      <c r="BD3" s="6">
        <f t="shared" si="1"/>
        <v>0.42074750384683718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0.22882538694665916</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0.15637496467992051</v>
      </c>
      <c r="BH3" s="7" t="str">
        <f>BI3&amp;"_"&amp;IF(BJ3="男性",1,IF(BJ3="女性",2,IF(BJ3="合計",3)))</f>
        <v>2025_1</v>
      </c>
      <c r="BI3" s="28">
        <f>管理者入力シート!B8</f>
        <v>2025</v>
      </c>
      <c r="BJ3" s="3" t="s">
        <v>21</v>
      </c>
      <c r="BK3" s="9">
        <f>CM4*AK$13</f>
        <v>72.982806661860522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108.0458636858514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131.16918686644891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97.931824094825046</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82.567168327561149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70.834709010632977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95.160750716246397</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128.64666257833068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156.58842744481512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144.39358509134766</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149.56028876644865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137.57361160618021</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159.57236810076773</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212.42104157146719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232.29565657776729</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203.41886368633268</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103.40146697947044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80.408817535527305</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42.923158634209109</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9.6282891828807209</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0.81582321103634337</v>
      </c>
      <c r="CF3" s="9">
        <f t="shared" ref="CF3:CF14" si="2">SUM(BK3:CE3)</f>
        <v>2420.3403703300073</v>
      </c>
      <c r="CG3" s="9">
        <f>BL3*3/5+BM3*3/5</f>
        <v>143.5290303313802</v>
      </c>
      <c r="CH3" s="9">
        <f>BM3*2/5+BN3*1/5</f>
        <v>72.054039565544571</v>
      </c>
      <c r="CI3" s="9">
        <f t="shared" ref="CI3:CI14" si="3">SUM(BX3:CE3)</f>
        <v>885.31311737869112</v>
      </c>
      <c r="CJ3" s="9">
        <f>SUM(BZ3:CE3)</f>
        <v>440.59641922945661</v>
      </c>
      <c r="CK3" s="13">
        <f>CI3/CF3</f>
        <v>0.36578042007289285</v>
      </c>
      <c r="CL3" s="13">
        <f>CJ3/CF3</f>
        <v>0.18203903245615921</v>
      </c>
      <c r="CM3" s="9">
        <f>SUM(BO3:BR3)</f>
        <v>377.20929063277123</v>
      </c>
      <c r="CO3" s="7" t="str">
        <f>CP3&amp;"_"&amp;IF(CQ3="男性",1,IF(CQ3="女性",2,IF(CQ3="合計",3)))</f>
        <v>2025_1</v>
      </c>
      <c r="CP3" s="28">
        <f>管理者入力シート!B8</f>
        <v>2025</v>
      </c>
      <c r="CQ3" s="3" t="s">
        <v>21</v>
      </c>
      <c r="CR3" s="9">
        <f>BK3+将来予測シート②!$G17</f>
        <v>73.982806661860522</v>
      </c>
      <c r="CS3" s="9">
        <f>BL3+将来予測シート②!$G18</f>
        <v>108.0458636858514</v>
      </c>
      <c r="CT3" s="9">
        <f>BM3+将来予測シート②!$G19</f>
        <v>132.16918686644891</v>
      </c>
      <c r="CU3" s="9">
        <f>BN3+将来予測シート②!$G20</f>
        <v>97.931824094825046</v>
      </c>
      <c r="CV3" s="9">
        <f>BO3+将来予測シート②!$G21</f>
        <v>82.567168327561149</v>
      </c>
      <c r="CW3" s="9">
        <f>BP3+将来予測シート②!$G22</f>
        <v>72.834709010632977</v>
      </c>
      <c r="CX3" s="9">
        <f>BQ3+将来予測シート②!$G23</f>
        <v>95.160750716246397</v>
      </c>
      <c r="CY3" s="9">
        <f>BR3+将来予測シート②!$G24</f>
        <v>128.64666257833068</v>
      </c>
      <c r="CZ3" s="9">
        <f>BS3+将来予測シート②!$G25</f>
        <v>156.58842744481512</v>
      </c>
      <c r="DA3" s="9">
        <f>BT3+将来予測シート②!$G26</f>
        <v>144.39358509134766</v>
      </c>
      <c r="DB3" s="9">
        <f>BU3+将来予測シート②!$G27</f>
        <v>149.56028876644865</v>
      </c>
      <c r="DC3" s="9">
        <f>BV3+将来予測シート②!$G28</f>
        <v>137.57361160618021</v>
      </c>
      <c r="DD3" s="9">
        <f>BW3+将来予測シート②!$G29</f>
        <v>159.57236810076773</v>
      </c>
      <c r="DE3" s="9">
        <f>BX3</f>
        <v>212.42104157146719</v>
      </c>
      <c r="DF3" s="9">
        <f t="shared" ref="DF3:DL3" si="4">BY3</f>
        <v>232.29565657776729</v>
      </c>
      <c r="DG3" s="9">
        <f t="shared" si="4"/>
        <v>203.41886368633268</v>
      </c>
      <c r="DH3" s="9">
        <f t="shared" si="4"/>
        <v>103.40146697947044</v>
      </c>
      <c r="DI3" s="9">
        <f t="shared" si="4"/>
        <v>80.408817535527305</v>
      </c>
      <c r="DJ3" s="9">
        <f t="shared" si="4"/>
        <v>42.923158634209109</v>
      </c>
      <c r="DK3" s="9">
        <f t="shared" si="4"/>
        <v>9.6282891828807209</v>
      </c>
      <c r="DL3" s="9">
        <f t="shared" si="4"/>
        <v>0.81582321103634337</v>
      </c>
      <c r="DM3" s="9">
        <f t="shared" ref="DM3:DM4" si="5">SUM(CR3:DL3)</f>
        <v>2424.3403703300073</v>
      </c>
      <c r="DN3" s="9">
        <f>CS3*3/5+CT3*3/5</f>
        <v>144.12903033138019</v>
      </c>
      <c r="DO3" s="9">
        <f>CT3*2/5+CU3*1/5</f>
        <v>72.454039565544576</v>
      </c>
      <c r="DP3" s="9">
        <f t="shared" ref="DP3:DP14" si="6">SUM(DE3:DL3)</f>
        <v>885.31311737869112</v>
      </c>
      <c r="DQ3" s="9">
        <f>SUM(DG3:DL3)</f>
        <v>440.59641922945661</v>
      </c>
      <c r="DR3" s="13">
        <f>DP3/DM3</f>
        <v>0.36517690676337666</v>
      </c>
      <c r="DS3" s="13">
        <f>DQ3/DM3</f>
        <v>0.18173868018766751</v>
      </c>
      <c r="DT3" s="9">
        <f>SUM(CV3:CY3)</f>
        <v>379.20929063277123</v>
      </c>
      <c r="DV3" s="287"/>
      <c r="DW3" s="288"/>
      <c r="DX3" s="28">
        <f>管理者入力シート!B8</f>
        <v>2025</v>
      </c>
      <c r="DY3" s="3" t="s">
        <v>21</v>
      </c>
      <c r="DZ3" s="9">
        <f>BK$3</f>
        <v>72.982806661860522</v>
      </c>
      <c r="EA3" s="9">
        <f>BL$3</f>
        <v>108.0458636858514</v>
      </c>
      <c r="EB3" s="9">
        <f t="shared" ref="EB3:ED3" si="7">BM$3</f>
        <v>131.16918686644891</v>
      </c>
      <c r="EC3" s="9">
        <f t="shared" si="7"/>
        <v>97.931824094825046</v>
      </c>
      <c r="ED3" s="9">
        <f t="shared" si="7"/>
        <v>82.567168327561149</v>
      </c>
      <c r="EE3" s="9">
        <f>BP$3+DX1</f>
        <v>120.83470901063298</v>
      </c>
      <c r="EF3" s="9">
        <f>BQ$3+DX1</f>
        <v>145.16075071624641</v>
      </c>
      <c r="EG3" s="9">
        <f>BR$3+DX1</f>
        <v>178.64666257833068</v>
      </c>
      <c r="EH3" s="9">
        <f t="shared" ref="EH3:ET3" si="8">BS$3</f>
        <v>156.58842744481512</v>
      </c>
      <c r="EI3" s="9">
        <f t="shared" si="8"/>
        <v>144.39358509134766</v>
      </c>
      <c r="EJ3" s="9">
        <f t="shared" si="8"/>
        <v>149.56028876644865</v>
      </c>
      <c r="EK3" s="9">
        <f t="shared" si="8"/>
        <v>137.57361160618021</v>
      </c>
      <c r="EL3" s="9">
        <f t="shared" si="8"/>
        <v>159.57236810076773</v>
      </c>
      <c r="EM3" s="9">
        <f t="shared" si="8"/>
        <v>212.42104157146719</v>
      </c>
      <c r="EN3" s="9">
        <f t="shared" si="8"/>
        <v>232.29565657776729</v>
      </c>
      <c r="EO3" s="9">
        <f t="shared" si="8"/>
        <v>203.41886368633268</v>
      </c>
      <c r="EP3" s="9">
        <f t="shared" si="8"/>
        <v>103.40146697947044</v>
      </c>
      <c r="EQ3" s="9">
        <f t="shared" si="8"/>
        <v>80.408817535527305</v>
      </c>
      <c r="ER3" s="9">
        <f t="shared" si="8"/>
        <v>42.923158634209109</v>
      </c>
      <c r="ES3" s="9">
        <f t="shared" si="8"/>
        <v>9.6282891828807209</v>
      </c>
      <c r="ET3" s="9">
        <f t="shared" si="8"/>
        <v>0.81582321103634337</v>
      </c>
      <c r="EU3" s="9">
        <f t="shared" ref="EU3:EU4" si="9">SUM(DZ3:ET3)</f>
        <v>2570.3403703300073</v>
      </c>
      <c r="EV3" s="9">
        <f>EA3*3/5+EB3*3/5</f>
        <v>143.5290303313802</v>
      </c>
      <c r="EW3" s="9">
        <f>EB3*2/5+EC3*1/5</f>
        <v>72.054039565544571</v>
      </c>
      <c r="EX3" s="9">
        <f t="shared" ref="EX3:EX14" si="10">SUM(EM3:ET3)</f>
        <v>885.31311737869112</v>
      </c>
      <c r="EY3" s="9">
        <f>SUM(EO3:ET3)</f>
        <v>440.59641922945661</v>
      </c>
      <c r="EZ3" s="13">
        <f>EX3/EU3</f>
        <v>0.34443419540775655</v>
      </c>
      <c r="FA3" s="13">
        <f>EY3/EU3</f>
        <v>0.17141559317021046</v>
      </c>
      <c r="FB3" s="9">
        <f>SUM(ED3:EG3)</f>
        <v>527.20929063277117</v>
      </c>
    </row>
    <row r="4" spans="1:158" x14ac:dyDescent="0.15">
      <c r="A4" s="7" t="str">
        <f t="shared" ref="A4:A14" si="11">B4&amp;"_"&amp;IF(C4="男性",1,IF(C4="女性",2,IF(C4="合計",3)))</f>
        <v>2005_2</v>
      </c>
      <c r="B4" s="29">
        <v>2005</v>
      </c>
      <c r="C4" s="4" t="s">
        <v>22</v>
      </c>
      <c r="D4" s="10">
        <v>102.9</v>
      </c>
      <c r="E4" s="10">
        <v>124.78</v>
      </c>
      <c r="F4" s="10">
        <v>161.76</v>
      </c>
      <c r="G4" s="10">
        <v>180.43</v>
      </c>
      <c r="H4" s="10">
        <v>166.32</v>
      </c>
      <c r="I4" s="10">
        <v>163.67000000000002</v>
      </c>
      <c r="J4" s="10">
        <v>151.67000000000002</v>
      </c>
      <c r="K4" s="10">
        <v>138.94999999999999</v>
      </c>
      <c r="L4" s="10">
        <v>190.65</v>
      </c>
      <c r="M4" s="10">
        <v>245.79</v>
      </c>
      <c r="N4" s="10">
        <v>268.75</v>
      </c>
      <c r="O4" s="10">
        <v>258.44</v>
      </c>
      <c r="P4" s="10">
        <v>194.09</v>
      </c>
      <c r="Q4" s="10">
        <v>198.47</v>
      </c>
      <c r="R4" s="10">
        <v>206.7</v>
      </c>
      <c r="S4" s="10">
        <v>175.26</v>
      </c>
      <c r="T4" s="10">
        <v>168.67000000000002</v>
      </c>
      <c r="U4" s="10">
        <v>103.64</v>
      </c>
      <c r="V4" s="10">
        <v>55.129999999999995</v>
      </c>
      <c r="W4" s="10">
        <v>24.35</v>
      </c>
      <c r="X4" s="10">
        <v>1.1599999999999999</v>
      </c>
      <c r="Y4" s="10">
        <f>SUM(D4:X4)</f>
        <v>3281.58</v>
      </c>
      <c r="Z4" s="10">
        <f t="shared" ref="Z4:Z11" si="12">E4*3/5+F4*3/5</f>
        <v>171.92400000000001</v>
      </c>
      <c r="AA4" s="10">
        <f t="shared" ref="AA4:AA11" si="13">F4*2/5+G4*1/5</f>
        <v>100.78999999999999</v>
      </c>
      <c r="AB4" s="10">
        <f t="shared" si="0"/>
        <v>933.37999999999988</v>
      </c>
      <c r="AC4" s="10">
        <f t="shared" ref="AC4:AC11" si="14">SUM(S4:X4)</f>
        <v>528.20999999999992</v>
      </c>
      <c r="AD4" s="14">
        <f t="shared" ref="AD4:AD11" si="15">AB4/Y4</f>
        <v>0.28443006112909025</v>
      </c>
      <c r="AE4" s="14">
        <f t="shared" ref="AE4:AE11" si="16">AC4/Y4</f>
        <v>0.16096209752619164</v>
      </c>
      <c r="AF4" s="10">
        <f t="shared" ref="AF4:AF20" si="17">SUM(H4:K4)</f>
        <v>620.61</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1.1900731471598511</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1.078969383060524</v>
      </c>
      <c r="AO4" s="193">
        <f t="shared" si="18"/>
        <v>0.92724596066809106</v>
      </c>
      <c r="AP4" s="193">
        <f t="shared" si="18"/>
        <v>0.63782114875208384</v>
      </c>
      <c r="AQ4" s="193">
        <f t="shared" si="18"/>
        <v>0.81487340554831755</v>
      </c>
      <c r="AR4" s="193">
        <f t="shared" si="18"/>
        <v>0.95918014153488595</v>
      </c>
      <c r="AS4" s="193">
        <f t="shared" si="18"/>
        <v>1.0774918785502094</v>
      </c>
      <c r="AT4" s="193">
        <f t="shared" si="18"/>
        <v>1.0623812429962149</v>
      </c>
      <c r="AU4" s="193">
        <f t="shared" si="18"/>
        <v>1.0337953305095755</v>
      </c>
      <c r="AV4" s="193">
        <f t="shared" si="18"/>
        <v>0.97150202275990827</v>
      </c>
      <c r="AW4" s="193">
        <f t="shared" si="18"/>
        <v>0.96310086973158826</v>
      </c>
      <c r="AX4" s="193">
        <f t="shared" si="18"/>
        <v>0.99939273982134658</v>
      </c>
      <c r="AY4" s="193">
        <f t="shared" si="18"/>
        <v>0.98961371052835501</v>
      </c>
      <c r="AZ4" s="193">
        <f t="shared" si="18"/>
        <v>0.94659733830373904</v>
      </c>
      <c r="BA4" s="193">
        <f t="shared" si="18"/>
        <v>0.93175128884608049</v>
      </c>
      <c r="BB4" s="193">
        <f t="shared" si="18"/>
        <v>1.0019197163596436</v>
      </c>
      <c r="BC4" s="193">
        <f t="shared" si="18"/>
        <v>0.98392157493476962</v>
      </c>
      <c r="BD4" s="193">
        <f t="shared" si="18"/>
        <v>0.6291203718261692</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0.46150648244519815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0.21751388495928051</v>
      </c>
      <c r="BH4" s="7" t="str">
        <f t="shared" ref="BH4:BH20" si="19">BI4&amp;"_"&amp;IF(BJ4="男性",1,IF(BJ4="女性",2,IF(BJ4="合計",3)))</f>
        <v>2025_2</v>
      </c>
      <c r="BI4" s="29">
        <f>BI3</f>
        <v>2025</v>
      </c>
      <c r="BJ4" s="4" t="s">
        <v>22</v>
      </c>
      <c r="BK4" s="10">
        <f>CM4*AK$14</f>
        <v>68.260602841041973</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97.777515512976322</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126.33690197775336</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116.29727810121163</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74.644645686640729</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60.450523874606169</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82.586693261143054</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126.25922407508986</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156.83326259559192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173.00533268269658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143.6322744757523</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151.73597814987326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168.41401269032426</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240.19946576438008</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265.1232628924555</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232.32012911613444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174.26835554676239</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181.45165938641011</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134.44858203676736</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55.361778926388837</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11.319275926394431</v>
      </c>
      <c r="CF4" s="10">
        <f t="shared" si="2"/>
        <v>2840.7267555203939</v>
      </c>
      <c r="CG4" s="10">
        <f t="shared" ref="CG4:CG14" si="20">BL4*3/5+BM4*3/5</f>
        <v>134.46865049443781</v>
      </c>
      <c r="CH4" s="10">
        <f t="shared" ref="CH4:CH14" si="21">BM4*2/5+BN4*1/5</f>
        <v>73.794216411343669</v>
      </c>
      <c r="CI4" s="10">
        <f t="shared" si="3"/>
        <v>1294.4925095956933</v>
      </c>
      <c r="CJ4" s="10">
        <f t="shared" ref="CJ4:CJ14" si="22">SUM(BZ4:CE4)</f>
        <v>789.16978093885757</v>
      </c>
      <c r="CK4" s="14">
        <f t="shared" ref="CK4:CK14" si="23">CI4/CF4</f>
        <v>0.45569061053834253</v>
      </c>
      <c r="CL4" s="14">
        <f t="shared" ref="CL4:CL14" si="24">CJ4/CF4</f>
        <v>0.27780559302483465</v>
      </c>
      <c r="CM4" s="10">
        <f t="shared" ref="CM4:CM14" si="25">SUM(BO4:BR4)</f>
        <v>343.94108689747986</v>
      </c>
      <c r="CO4" s="7" t="str">
        <f t="shared" ref="CO4:CO20" si="26">CP4&amp;"_"&amp;IF(CQ4="男性",1,IF(CQ4="女性",2,IF(CQ4="合計",3)))</f>
        <v>2025_2</v>
      </c>
      <c r="CP4" s="29">
        <f>CP3</f>
        <v>2025</v>
      </c>
      <c r="CQ4" s="4" t="s">
        <v>22</v>
      </c>
      <c r="CR4" s="10">
        <f>BK4+将来予測シート②!$H17</f>
        <v>69.260602841041973</v>
      </c>
      <c r="CS4" s="10">
        <f>BL4+将来予測シート②!$H18</f>
        <v>97.777515512976322</v>
      </c>
      <c r="CT4" s="10">
        <f>BM4+将来予測シート②!$H19</f>
        <v>127.33690197775336</v>
      </c>
      <c r="CU4" s="10">
        <f>BN4+将来予測シート②!$H20</f>
        <v>116.29727810121163</v>
      </c>
      <c r="CV4" s="10">
        <f>BO4+将来予測シート②!$H21</f>
        <v>74.644645686640729</v>
      </c>
      <c r="CW4" s="10">
        <f>BP4+将来予測シート②!$H22</f>
        <v>62.450523874606169</v>
      </c>
      <c r="CX4" s="10">
        <f>BQ4+将来予測シート②!$H23</f>
        <v>82.586693261143054</v>
      </c>
      <c r="CY4" s="10">
        <f>BR4+将来予測シート②!$H24</f>
        <v>126.25922407508986</v>
      </c>
      <c r="CZ4" s="10">
        <f>BS4+将来予測シート②!$H25</f>
        <v>157.83326259559192</v>
      </c>
      <c r="DA4" s="10">
        <f>BT4+将来予測シート②!$H26</f>
        <v>173.00533268269658</v>
      </c>
      <c r="DB4" s="10">
        <f>BU4+将来予測シート②!$H27</f>
        <v>143.6322744757523</v>
      </c>
      <c r="DC4" s="10">
        <f>BV4+将来予測シート②!$H28</f>
        <v>151.73597814987326</v>
      </c>
      <c r="DD4" s="10">
        <f>BW4+将来予測シート②!$H29</f>
        <v>168.41401269032426</v>
      </c>
      <c r="DE4" s="10">
        <f>BX4</f>
        <v>240.19946576438008</v>
      </c>
      <c r="DF4" s="10">
        <f t="shared" ref="DF4" si="27">BY4</f>
        <v>265.1232628924555</v>
      </c>
      <c r="DG4" s="10">
        <f t="shared" ref="DG4" si="28">BZ4</f>
        <v>232.32012911613444</v>
      </c>
      <c r="DH4" s="10">
        <f t="shared" ref="DH4" si="29">CA4</f>
        <v>174.26835554676239</v>
      </c>
      <c r="DI4" s="10">
        <f t="shared" ref="DI4" si="30">CB4</f>
        <v>181.45165938641011</v>
      </c>
      <c r="DJ4" s="10">
        <f t="shared" ref="DJ4" si="31">CC4</f>
        <v>134.44858203676736</v>
      </c>
      <c r="DK4" s="10">
        <f t="shared" ref="DK4" si="32">CD4</f>
        <v>55.361778926388837</v>
      </c>
      <c r="DL4" s="10">
        <f t="shared" ref="DL4" si="33">CE4</f>
        <v>11.319275926394431</v>
      </c>
      <c r="DM4" s="10">
        <f t="shared" si="5"/>
        <v>2845.7267555203939</v>
      </c>
      <c r="DN4" s="10">
        <f t="shared" ref="DN4:DN14" si="34">CS4*3/5+CT4*3/5</f>
        <v>135.0686504944378</v>
      </c>
      <c r="DO4" s="10">
        <f t="shared" ref="DO4:DO14" si="35">CT4*2/5+CU4*1/5</f>
        <v>74.19421641134366</v>
      </c>
      <c r="DP4" s="10">
        <f t="shared" si="6"/>
        <v>1294.4925095956933</v>
      </c>
      <c r="DQ4" s="10">
        <f t="shared" ref="DQ4:DQ14" si="36">SUM(DG4:DL4)</f>
        <v>789.16978093885757</v>
      </c>
      <c r="DR4" s="14">
        <f t="shared" ref="DR4:DR14" si="37">DP4/DM4</f>
        <v>0.45488995283349731</v>
      </c>
      <c r="DS4" s="14">
        <f t="shared" ref="DS4:DS14" si="38">DQ4/DM4</f>
        <v>0.27731748292697317</v>
      </c>
      <c r="DT4" s="10">
        <f>SUM(CV4:CY4)</f>
        <v>345.94108689747986</v>
      </c>
      <c r="DV4" s="287"/>
      <c r="DW4" s="288"/>
      <c r="DX4" s="29">
        <f>DX3</f>
        <v>2025</v>
      </c>
      <c r="DY4" s="4" t="s">
        <v>22</v>
      </c>
      <c r="DZ4" s="10">
        <f>BK$4</f>
        <v>68.260602841041973</v>
      </c>
      <c r="EA4" s="10">
        <f>BL$4</f>
        <v>97.777515512976322</v>
      </c>
      <c r="EB4" s="10">
        <f t="shared" ref="EB4:ED4" si="39">BM$4</f>
        <v>126.33690197775336</v>
      </c>
      <c r="EC4" s="10">
        <f t="shared" si="39"/>
        <v>116.29727810121163</v>
      </c>
      <c r="ED4" s="10">
        <f t="shared" si="39"/>
        <v>74.644645686640729</v>
      </c>
      <c r="EE4" s="10">
        <f>BP$4+DX1</f>
        <v>110.45052387460618</v>
      </c>
      <c r="EF4" s="10">
        <f>BQ$4+DX1</f>
        <v>132.58669326114307</v>
      </c>
      <c r="EG4" s="10">
        <f>BR$4+DX1</f>
        <v>176.25922407508986</v>
      </c>
      <c r="EH4" s="10">
        <f t="shared" ref="EH4:ET4" si="40">BS$4</f>
        <v>156.83326259559192</v>
      </c>
      <c r="EI4" s="10">
        <f t="shared" si="40"/>
        <v>173.00533268269658</v>
      </c>
      <c r="EJ4" s="10">
        <f t="shared" si="40"/>
        <v>143.6322744757523</v>
      </c>
      <c r="EK4" s="10">
        <f t="shared" si="40"/>
        <v>151.73597814987326</v>
      </c>
      <c r="EL4" s="10">
        <f t="shared" si="40"/>
        <v>168.41401269032426</v>
      </c>
      <c r="EM4" s="10">
        <f t="shared" si="40"/>
        <v>240.19946576438008</v>
      </c>
      <c r="EN4" s="10">
        <f t="shared" si="40"/>
        <v>265.1232628924555</v>
      </c>
      <c r="EO4" s="10">
        <f t="shared" si="40"/>
        <v>232.32012911613444</v>
      </c>
      <c r="EP4" s="10">
        <f t="shared" si="40"/>
        <v>174.26835554676239</v>
      </c>
      <c r="EQ4" s="10">
        <f t="shared" si="40"/>
        <v>181.45165938641011</v>
      </c>
      <c r="ER4" s="10">
        <f t="shared" si="40"/>
        <v>134.44858203676736</v>
      </c>
      <c r="ES4" s="10">
        <f t="shared" si="40"/>
        <v>55.361778926388837</v>
      </c>
      <c r="ET4" s="10">
        <f t="shared" si="40"/>
        <v>11.319275926394431</v>
      </c>
      <c r="EU4" s="10">
        <f t="shared" si="9"/>
        <v>2990.7267555203939</v>
      </c>
      <c r="EV4" s="10">
        <f t="shared" ref="EV4:EV14" si="41">EA4*3/5+EB4*3/5</f>
        <v>134.46865049443781</v>
      </c>
      <c r="EW4" s="10">
        <f t="shared" ref="EW4:EW14" si="42">EB4*2/5+EC4*1/5</f>
        <v>73.794216411343669</v>
      </c>
      <c r="EX4" s="10">
        <f t="shared" si="10"/>
        <v>1294.4925095956933</v>
      </c>
      <c r="EY4" s="10">
        <f t="shared" ref="EY4:EY14" si="43">SUM(EO4:ET4)</f>
        <v>789.16978093885757</v>
      </c>
      <c r="EZ4" s="14">
        <f t="shared" ref="EZ4:EZ14" si="44">EX4/EU4</f>
        <v>0.4328354327944775</v>
      </c>
      <c r="FA4" s="14">
        <f t="shared" ref="FA4:FA14" si="45">EY4/EU4</f>
        <v>0.26387224425707861</v>
      </c>
      <c r="FB4" s="10">
        <f>SUM(ED4:EG4)</f>
        <v>493.94108689747986</v>
      </c>
    </row>
    <row r="5" spans="1:158" x14ac:dyDescent="0.15">
      <c r="A5" s="7" t="str">
        <f t="shared" si="11"/>
        <v>2005_3</v>
      </c>
      <c r="B5" s="30">
        <v>2005</v>
      </c>
      <c r="C5" s="5" t="s">
        <v>23</v>
      </c>
      <c r="D5" s="11">
        <v>222.98000000000002</v>
      </c>
      <c r="E5" s="11">
        <v>254.77</v>
      </c>
      <c r="F5" s="11">
        <v>329.16999999999996</v>
      </c>
      <c r="G5" s="11">
        <v>354.56</v>
      </c>
      <c r="H5" s="11">
        <v>305.61</v>
      </c>
      <c r="I5" s="11">
        <v>301.71000000000004</v>
      </c>
      <c r="J5" s="11">
        <v>298.35000000000002</v>
      </c>
      <c r="K5" s="11">
        <v>264.56</v>
      </c>
      <c r="L5" s="11">
        <v>366.23</v>
      </c>
      <c r="M5" s="11">
        <v>479.86</v>
      </c>
      <c r="N5" s="11">
        <v>531.80999999999995</v>
      </c>
      <c r="O5" s="11">
        <v>523.21</v>
      </c>
      <c r="P5" s="11">
        <v>343.95000000000005</v>
      </c>
      <c r="Q5" s="11">
        <v>373.36</v>
      </c>
      <c r="R5" s="11">
        <v>369.24</v>
      </c>
      <c r="S5" s="11">
        <v>313.33999999999997</v>
      </c>
      <c r="T5" s="11">
        <v>230.32000000000002</v>
      </c>
      <c r="U5" s="11">
        <v>145.36000000000001</v>
      </c>
      <c r="V5" s="11">
        <v>72.47</v>
      </c>
      <c r="W5" s="11">
        <v>30.630000000000003</v>
      </c>
      <c r="X5" s="11">
        <v>2.16</v>
      </c>
      <c r="Y5" s="11">
        <f>SUM(D5:X5)</f>
        <v>6113.6499999999987</v>
      </c>
      <c r="Z5" s="11">
        <f t="shared" si="12"/>
        <v>350.36400000000003</v>
      </c>
      <c r="AA5" s="11">
        <f t="shared" si="13"/>
        <v>202.57999999999998</v>
      </c>
      <c r="AB5" s="11">
        <f t="shared" si="0"/>
        <v>1536.88</v>
      </c>
      <c r="AC5" s="11">
        <f t="shared" si="14"/>
        <v>794.28</v>
      </c>
      <c r="AD5" s="15">
        <f t="shared" si="15"/>
        <v>0.25138501549810677</v>
      </c>
      <c r="AE5" s="15">
        <f t="shared" si="16"/>
        <v>0.1299191154220474</v>
      </c>
      <c r="AF5" s="11">
        <f t="shared" si="17"/>
        <v>1170.23</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1.0335693482545321</v>
      </c>
      <c r="AN5" s="6">
        <f t="shared" si="1"/>
        <v>1.0748370620542176</v>
      </c>
      <c r="AO5" s="6">
        <f t="shared" si="1"/>
        <v>0.84051162237892152</v>
      </c>
      <c r="AP5" s="6">
        <f t="shared" si="1"/>
        <v>0.66687343379851782</v>
      </c>
      <c r="AQ5" s="6">
        <f t="shared" si="1"/>
        <v>0.88775023180722323</v>
      </c>
      <c r="AR5" s="6">
        <f t="shared" si="1"/>
        <v>0.96080394712384976</v>
      </c>
      <c r="AS5" s="6">
        <f t="shared" si="1"/>
        <v>0.9592239538568037</v>
      </c>
      <c r="AT5" s="6">
        <f t="shared" si="1"/>
        <v>0.94925730607695036</v>
      </c>
      <c r="AU5" s="6">
        <f t="shared" si="1"/>
        <v>1.0227236845173908</v>
      </c>
      <c r="AV5" s="6">
        <f t="shared" si="1"/>
        <v>1.0026493998625419</v>
      </c>
      <c r="AW5" s="6">
        <f t="shared" si="1"/>
        <v>0.99804051661625182</v>
      </c>
      <c r="AX5" s="6">
        <f t="shared" si="1"/>
        <v>0.99593638546936247</v>
      </c>
      <c r="AY5" s="6">
        <f t="shared" si="1"/>
        <v>0.91113923647924144</v>
      </c>
      <c r="AZ5" s="6">
        <f t="shared" si="1"/>
        <v>0.95099972536115385</v>
      </c>
      <c r="BA5" s="6">
        <f t="shared" si="1"/>
        <v>0.83241189975194108</v>
      </c>
      <c r="BB5" s="6">
        <f t="shared" si="1"/>
        <v>0.8524392323545138</v>
      </c>
      <c r="BC5" s="6">
        <f t="shared" si="1"/>
        <v>0.75521365901594695</v>
      </c>
      <c r="BD5" s="6">
        <f t="shared" si="1"/>
        <v>0.52623183828828757</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0.32761830745690762</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0.25001005193065057</v>
      </c>
      <c r="BH5" s="7" t="str">
        <f t="shared" si="19"/>
        <v>2025_3</v>
      </c>
      <c r="BI5" s="30">
        <f>BI4</f>
        <v>2025</v>
      </c>
      <c r="BJ5" s="5" t="s">
        <v>23</v>
      </c>
      <c r="BK5" s="16">
        <f>BK3+BK4</f>
        <v>141.24340950290249</v>
      </c>
      <c r="BL5" s="16">
        <f t="shared" ref="BL5:CE5" si="46">BL3+BL4</f>
        <v>205.82337919882772</v>
      </c>
      <c r="BM5" s="16">
        <f t="shared" si="46"/>
        <v>257.50608884420228</v>
      </c>
      <c r="BN5" s="16">
        <f t="shared" si="46"/>
        <v>214.22910219603668</v>
      </c>
      <c r="BO5" s="16">
        <f t="shared" si="46"/>
        <v>157.21181401420188</v>
      </c>
      <c r="BP5" s="16">
        <f t="shared" si="46"/>
        <v>131.28523288523914</v>
      </c>
      <c r="BQ5" s="16">
        <f t="shared" si="46"/>
        <v>177.74744397738945</v>
      </c>
      <c r="BR5" s="16">
        <f t="shared" si="46"/>
        <v>254.90588665342054</v>
      </c>
      <c r="BS5" s="16">
        <f t="shared" si="46"/>
        <v>313.42169004040704</v>
      </c>
      <c r="BT5" s="16">
        <f t="shared" si="46"/>
        <v>317.39891777404421</v>
      </c>
      <c r="BU5" s="16">
        <f t="shared" si="46"/>
        <v>293.19256324220095</v>
      </c>
      <c r="BV5" s="16">
        <f t="shared" si="46"/>
        <v>289.30958975605347</v>
      </c>
      <c r="BW5" s="16">
        <f t="shared" si="46"/>
        <v>327.98638079109196</v>
      </c>
      <c r="BX5" s="16">
        <f t="shared" si="46"/>
        <v>452.62050733584726</v>
      </c>
      <c r="BY5" s="16">
        <f t="shared" si="46"/>
        <v>497.41891947022282</v>
      </c>
      <c r="BZ5" s="16">
        <f t="shared" si="46"/>
        <v>435.73899280246712</v>
      </c>
      <c r="CA5" s="16">
        <f t="shared" si="46"/>
        <v>277.66982252623285</v>
      </c>
      <c r="CB5" s="16">
        <f t="shared" si="46"/>
        <v>261.86047692193745</v>
      </c>
      <c r="CC5" s="16">
        <f t="shared" si="46"/>
        <v>177.37174067097646</v>
      </c>
      <c r="CD5" s="16">
        <f t="shared" si="46"/>
        <v>64.990068109269558</v>
      </c>
      <c r="CE5" s="16">
        <f t="shared" si="46"/>
        <v>12.135099137430775</v>
      </c>
      <c r="CF5" s="11">
        <f>SUM(BK5:CE5)</f>
        <v>5261.0671258504017</v>
      </c>
      <c r="CG5" s="11">
        <f t="shared" si="20"/>
        <v>277.99768082581795</v>
      </c>
      <c r="CH5" s="11">
        <f t="shared" si="21"/>
        <v>145.84825597688825</v>
      </c>
      <c r="CI5" s="11">
        <f t="shared" si="3"/>
        <v>2179.8056269743843</v>
      </c>
      <c r="CJ5" s="11">
        <f t="shared" si="22"/>
        <v>1229.7662001683143</v>
      </c>
      <c r="CK5" s="15">
        <f t="shared" si="23"/>
        <v>0.41432765916706288</v>
      </c>
      <c r="CL5" s="15">
        <f t="shared" si="24"/>
        <v>0.23374843368293544</v>
      </c>
      <c r="CM5" s="11">
        <f t="shared" si="25"/>
        <v>721.15037753025103</v>
      </c>
      <c r="CO5" s="7" t="str">
        <f t="shared" si="26"/>
        <v>2025_3</v>
      </c>
      <c r="CP5" s="30">
        <f>CP4</f>
        <v>2025</v>
      </c>
      <c r="CQ5" s="5" t="s">
        <v>23</v>
      </c>
      <c r="CR5" s="16">
        <f>CR3+CR4</f>
        <v>143.24340950290249</v>
      </c>
      <c r="CS5" s="16">
        <f t="shared" ref="CS5" si="47">CS3+CS4</f>
        <v>205.82337919882772</v>
      </c>
      <c r="CT5" s="16">
        <f t="shared" ref="CT5" si="48">CT3+CT4</f>
        <v>259.50608884420228</v>
      </c>
      <c r="CU5" s="16">
        <f t="shared" ref="CU5" si="49">CU3+CU4</f>
        <v>214.22910219603668</v>
      </c>
      <c r="CV5" s="16">
        <f t="shared" ref="CV5" si="50">CV3+CV4</f>
        <v>157.21181401420188</v>
      </c>
      <c r="CW5" s="16">
        <f t="shared" ref="CW5" si="51">CW3+CW4</f>
        <v>135.28523288523914</v>
      </c>
      <c r="CX5" s="16">
        <f t="shared" ref="CX5" si="52">CX3+CX4</f>
        <v>177.74744397738945</v>
      </c>
      <c r="CY5" s="16">
        <f t="shared" ref="CY5" si="53">CY3+CY4</f>
        <v>254.90588665342054</v>
      </c>
      <c r="CZ5" s="16">
        <f t="shared" ref="CZ5" si="54">CZ3+CZ4</f>
        <v>314.42169004040704</v>
      </c>
      <c r="DA5" s="16">
        <f t="shared" ref="DA5" si="55">DA3+DA4</f>
        <v>317.39891777404421</v>
      </c>
      <c r="DB5" s="16">
        <f t="shared" ref="DB5" si="56">DB3+DB4</f>
        <v>293.19256324220095</v>
      </c>
      <c r="DC5" s="16">
        <f t="shared" ref="DC5" si="57">DC3+DC4</f>
        <v>289.30958975605347</v>
      </c>
      <c r="DD5" s="16">
        <f t="shared" ref="DD5" si="58">DD3+DD4</f>
        <v>327.98638079109196</v>
      </c>
      <c r="DE5" s="16">
        <f t="shared" ref="DE5" si="59">DE3+DE4</f>
        <v>452.62050733584726</v>
      </c>
      <c r="DF5" s="16">
        <f t="shared" ref="DF5" si="60">DF3+DF4</f>
        <v>497.41891947022282</v>
      </c>
      <c r="DG5" s="16">
        <f t="shared" ref="DG5" si="61">DG3+DG4</f>
        <v>435.73899280246712</v>
      </c>
      <c r="DH5" s="16">
        <f t="shared" ref="DH5" si="62">DH3+DH4</f>
        <v>277.66982252623285</v>
      </c>
      <c r="DI5" s="16">
        <f t="shared" ref="DI5" si="63">DI3+DI4</f>
        <v>261.86047692193745</v>
      </c>
      <c r="DJ5" s="16">
        <f t="shared" ref="DJ5" si="64">DJ3+DJ4</f>
        <v>177.37174067097646</v>
      </c>
      <c r="DK5" s="16">
        <f t="shared" ref="DK5" si="65">DK3+DK4</f>
        <v>64.990068109269558</v>
      </c>
      <c r="DL5" s="16">
        <f t="shared" ref="DL5" si="66">DL3+DL4</f>
        <v>12.135099137430775</v>
      </c>
      <c r="DM5" s="11">
        <f>SUM(CR5:DL5)</f>
        <v>5270.0671258504017</v>
      </c>
      <c r="DN5" s="11">
        <f t="shared" si="34"/>
        <v>279.197680825818</v>
      </c>
      <c r="DO5" s="11">
        <f t="shared" si="35"/>
        <v>146.64825597688824</v>
      </c>
      <c r="DP5" s="11">
        <f t="shared" si="6"/>
        <v>2179.8056269743843</v>
      </c>
      <c r="DQ5" s="11">
        <f t="shared" si="36"/>
        <v>1229.7662001683143</v>
      </c>
      <c r="DR5" s="15">
        <f t="shared" si="37"/>
        <v>0.41362008773704967</v>
      </c>
      <c r="DS5" s="15">
        <f t="shared" si="38"/>
        <v>0.23334924789404343</v>
      </c>
      <c r="DT5" s="11">
        <f>SUM(CV5:CY5)</f>
        <v>725.15037753025103</v>
      </c>
      <c r="DV5" s="287"/>
      <c r="DW5" s="288"/>
      <c r="DX5" s="30">
        <f>DX4</f>
        <v>2025</v>
      </c>
      <c r="DY5" s="5" t="s">
        <v>23</v>
      </c>
      <c r="DZ5" s="16">
        <f>DZ3+DZ4</f>
        <v>141.24340950290249</v>
      </c>
      <c r="EA5" s="16">
        <f t="shared" ref="EA5:ET5" si="67">EA3+EA4</f>
        <v>205.82337919882772</v>
      </c>
      <c r="EB5" s="16">
        <f t="shared" si="67"/>
        <v>257.50608884420228</v>
      </c>
      <c r="EC5" s="16">
        <f t="shared" si="67"/>
        <v>214.22910219603668</v>
      </c>
      <c r="ED5" s="16">
        <f t="shared" si="67"/>
        <v>157.21181401420188</v>
      </c>
      <c r="EE5" s="16">
        <f t="shared" si="67"/>
        <v>231.28523288523917</v>
      </c>
      <c r="EF5" s="16">
        <f t="shared" si="67"/>
        <v>277.74744397738948</v>
      </c>
      <c r="EG5" s="16">
        <f t="shared" si="67"/>
        <v>354.90588665342057</v>
      </c>
      <c r="EH5" s="16">
        <f t="shared" si="67"/>
        <v>313.42169004040704</v>
      </c>
      <c r="EI5" s="16">
        <f t="shared" si="67"/>
        <v>317.39891777404421</v>
      </c>
      <c r="EJ5" s="16">
        <f t="shared" si="67"/>
        <v>293.19256324220095</v>
      </c>
      <c r="EK5" s="16">
        <f t="shared" si="67"/>
        <v>289.30958975605347</v>
      </c>
      <c r="EL5" s="16">
        <f t="shared" si="67"/>
        <v>327.98638079109196</v>
      </c>
      <c r="EM5" s="16">
        <f t="shared" si="67"/>
        <v>452.62050733584726</v>
      </c>
      <c r="EN5" s="16">
        <f t="shared" si="67"/>
        <v>497.41891947022282</v>
      </c>
      <c r="EO5" s="16">
        <f t="shared" si="67"/>
        <v>435.73899280246712</v>
      </c>
      <c r="EP5" s="16">
        <f t="shared" si="67"/>
        <v>277.66982252623285</v>
      </c>
      <c r="EQ5" s="16">
        <f t="shared" si="67"/>
        <v>261.86047692193745</v>
      </c>
      <c r="ER5" s="16">
        <f t="shared" si="67"/>
        <v>177.37174067097646</v>
      </c>
      <c r="ES5" s="16">
        <f t="shared" si="67"/>
        <v>64.990068109269558</v>
      </c>
      <c r="ET5" s="16">
        <f t="shared" si="67"/>
        <v>12.135099137430775</v>
      </c>
      <c r="EU5" s="11">
        <f>SUM(DZ5:ET5)</f>
        <v>5561.0671258504017</v>
      </c>
      <c r="EV5" s="11">
        <f t="shared" si="41"/>
        <v>277.99768082581795</v>
      </c>
      <c r="EW5" s="11">
        <f t="shared" si="42"/>
        <v>145.84825597688825</v>
      </c>
      <c r="EX5" s="11">
        <f t="shared" si="10"/>
        <v>2179.8056269743843</v>
      </c>
      <c r="EY5" s="11">
        <f t="shared" si="43"/>
        <v>1229.7662001683143</v>
      </c>
      <c r="EZ5" s="15">
        <f t="shared" si="44"/>
        <v>0.39197614012635157</v>
      </c>
      <c r="FA5" s="15">
        <f t="shared" si="45"/>
        <v>0.22113852833241204</v>
      </c>
      <c r="FB5" s="11">
        <f>SUM(ED5:EG5)</f>
        <v>1021.150377530251</v>
      </c>
    </row>
    <row r="6" spans="1:158" x14ac:dyDescent="0.15">
      <c r="A6" s="7" t="str">
        <f t="shared" si="11"/>
        <v>2010_1</v>
      </c>
      <c r="B6" s="28">
        <v>2010</v>
      </c>
      <c r="C6" s="3" t="s">
        <v>21</v>
      </c>
      <c r="D6" s="9">
        <v>114.77080422268659</v>
      </c>
      <c r="E6" s="9">
        <v>138.11149558411859</v>
      </c>
      <c r="F6" s="9">
        <v>137.85294631944168</v>
      </c>
      <c r="G6" s="9">
        <v>144.84151115798602</v>
      </c>
      <c r="H6" s="9">
        <v>127.41481725347947</v>
      </c>
      <c r="I6" s="9">
        <v>144.5210445333754</v>
      </c>
      <c r="J6" s="9">
        <v>137.15306933328077</v>
      </c>
      <c r="K6" s="9">
        <v>150.41461765169737</v>
      </c>
      <c r="L6" s="9">
        <v>135.83292088869612</v>
      </c>
      <c r="M6" s="9">
        <v>171.11619011946536</v>
      </c>
      <c r="N6" s="9">
        <v>225.01510399006426</v>
      </c>
      <c r="O6" s="9">
        <v>258.92011098844773</v>
      </c>
      <c r="P6" s="9">
        <v>276.2446570792099</v>
      </c>
      <c r="Q6" s="9">
        <v>145.07649272562395</v>
      </c>
      <c r="R6" s="9">
        <v>159.64008013641919</v>
      </c>
      <c r="S6" s="9">
        <v>147.10045489492569</v>
      </c>
      <c r="T6" s="9">
        <v>110.66787160430549</v>
      </c>
      <c r="U6" s="9">
        <v>34.265130012222528</v>
      </c>
      <c r="V6" s="9">
        <v>22.680435476875765</v>
      </c>
      <c r="W6" s="9">
        <v>4.6401640184520758</v>
      </c>
      <c r="X6" s="9">
        <v>1.3200820092260379</v>
      </c>
      <c r="Y6" s="9">
        <f t="shared" ref="Y6:Y11" si="68">SUM(D6:X6)</f>
        <v>2787.6000000000004</v>
      </c>
      <c r="Z6" s="9">
        <f t="shared" si="12"/>
        <v>165.57866514213617</v>
      </c>
      <c r="AA6" s="9">
        <f t="shared" si="13"/>
        <v>84.109480759373881</v>
      </c>
      <c r="AB6" s="9">
        <f t="shared" si="0"/>
        <v>625.39071087805064</v>
      </c>
      <c r="AC6" s="9">
        <f t="shared" si="14"/>
        <v>320.67413801600759</v>
      </c>
      <c r="AD6" s="13">
        <f t="shared" si="15"/>
        <v>0.22434736363827326</v>
      </c>
      <c r="AE6" s="13">
        <f t="shared" si="16"/>
        <v>0.11503592266322556</v>
      </c>
      <c r="AF6" s="9">
        <f t="shared" si="17"/>
        <v>559.50354877183304</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1.0933270864168751</v>
      </c>
      <c r="AN6" s="193">
        <f t="shared" si="18"/>
        <v>1.0749961762349081</v>
      </c>
      <c r="AO6" s="193">
        <f t="shared" si="18"/>
        <v>0.83692735039631738</v>
      </c>
      <c r="AP6" s="193">
        <f t="shared" si="18"/>
        <v>0.79961036505275962</v>
      </c>
      <c r="AQ6" s="193">
        <f t="shared" si="18"/>
        <v>0.9277006060725278</v>
      </c>
      <c r="AR6" s="193">
        <f t="shared" si="18"/>
        <v>0.88810072451088995</v>
      </c>
      <c r="AS6" s="193">
        <f t="shared" si="18"/>
        <v>1.0647669858066708</v>
      </c>
      <c r="AT6" s="193">
        <f t="shared" si="18"/>
        <v>0.96338517282461733</v>
      </c>
      <c r="AU6" s="193">
        <f t="shared" si="18"/>
        <v>1.0189252298420761</v>
      </c>
      <c r="AV6" s="193">
        <f t="shared" si="18"/>
        <v>0.93868737830419435</v>
      </c>
      <c r="AW6" s="193">
        <f t="shared" si="18"/>
        <v>1.0382850616760806</v>
      </c>
      <c r="AX6" s="193">
        <f t="shared" si="18"/>
        <v>0.96536733611465453</v>
      </c>
      <c r="AY6" s="193">
        <f t="shared" si="18"/>
        <v>0.99324204586750175</v>
      </c>
      <c r="AZ6" s="193">
        <f t="shared" si="18"/>
        <v>0.99114698542280522</v>
      </c>
      <c r="BA6" s="193">
        <f t="shared" si="18"/>
        <v>0.99536596166986613</v>
      </c>
      <c r="BB6" s="193">
        <f t="shared" si="18"/>
        <v>0.98921746243397757</v>
      </c>
      <c r="BC6" s="193">
        <f t="shared" si="18"/>
        <v>1.0004349705787785</v>
      </c>
      <c r="BD6" s="193">
        <f t="shared" si="18"/>
        <v>0.77761178786615248</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0.48792685266344282</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0.19673610079488654</v>
      </c>
      <c r="BH6" s="7" t="str">
        <f t="shared" si="19"/>
        <v>2030_1</v>
      </c>
      <c r="BI6" s="28">
        <f>管理者入力シート!B9</f>
        <v>2030</v>
      </c>
      <c r="BJ6" s="3" t="s">
        <v>21</v>
      </c>
      <c r="BK6" s="9">
        <f>CM7*$AK$13</f>
        <v>62.004988215776805</v>
      </c>
      <c r="BL6" s="9">
        <f>IF(管理者入力シート!$B$14=1,BK3*管理者用人口入力シート!AM$3,IF(管理者入力シート!$B$14=2,BK3*管理者用人口入力シート!AM$7))</f>
        <v>86.040148005551018</v>
      </c>
      <c r="BM6" s="9">
        <f>IF(管理者入力シート!$B$14=1,BL3*管理者用人口入力シート!AN$3,IF(管理者入力シート!$B$14=2,BL3*管理者用人口入力シート!AN$7))</f>
        <v>111.13730457105387</v>
      </c>
      <c r="BN6" s="9">
        <f>IF(管理者入力シート!$B$14=1,BM3*管理者用人口入力シート!AO$3,IF(管理者入力シート!$B$14=2,BM3*管理者用人口入力シート!AO$7))</f>
        <v>110.0078885133787</v>
      </c>
      <c r="BO6" s="9">
        <f>IF(管理者入力シート!$B$14=1,BN3*管理者用人口入力シート!AP$3,IF(管理者入力シート!$B$14=2,BN3*管理者用人口入力シート!AP$7))</f>
        <v>65.090632381940594</v>
      </c>
      <c r="BP6" s="9">
        <f>IF(管理者入力シート!$B$14=1,BO3*管理者用人口入力シート!AQ$3,IF(管理者入力シート!$B$14=2,BO3*管理者用人口入力シート!AQ$7))</f>
        <v>76.198750790430495</v>
      </c>
      <c r="BQ6" s="9">
        <f>IF(管理者入力シート!$B$14=1,BP3*管理者用人口入力シート!AR$3,IF(管理者入力シート!$B$14=2,BP3*管理者用人口入力シート!AR$7))</f>
        <v>72.740684253869858</v>
      </c>
      <c r="BR6" s="9">
        <f>IF(管理者入力シート!$B$14=1,BQ3*管理者用人口入力シート!AS$3,IF(管理者入力シート!$B$14=2,BQ3*管理者用人口入力シート!AS$7))</f>
        <v>98.609304619799829</v>
      </c>
      <c r="BS6" s="9">
        <f>IF(管理者入力シート!$B$14=1,BR3*管理者用人口入力シート!AT$3,IF(管理者入力シート!$B$14=2,BR3*管理者用人口入力シート!AT$7))</f>
        <v>129.59619730256546</v>
      </c>
      <c r="BT6" s="9">
        <f>IF(管理者入力シート!$B$14=1,BS3*管理者用人口入力シート!AU$3,IF(管理者入力シート!$B$14=2,BS3*管理者用人口入力シート!AU$7))</f>
        <v>160.76018424503931</v>
      </c>
      <c r="BU6" s="9">
        <f>IF(管理者入力シート!$B$14=1,BT3*管理者用人口入力シート!AV$3,IF(管理者入力シート!$B$14=2,BT3*管理者用人口入力シート!AV$7))</f>
        <v>146.76106356341847</v>
      </c>
      <c r="BV6" s="9">
        <f>IF(管理者入力シート!$B$14=1,BU3*管理者用人口入力シート!AW$3,IF(管理者入力シート!$B$14=2,BU3*管理者用人口入力シート!AW$7))</f>
        <v>143.75113312247242</v>
      </c>
      <c r="BW6" s="9">
        <f>IF(管理者入力シート!$B$14=1,BV3*管理者用人口入力シート!AX$3,IF(管理者入力シート!$B$14=2,BV3*管理者用人口入力シート!AX$7))</f>
        <v>138.23271478169741</v>
      </c>
      <c r="BX6" s="9">
        <f>IF(管理者入力シート!$B$14=1,BW3*管理者用人口入力シート!AY$3,IF(管理者入力シート!$B$14=2,BW3*管理者用人口入力シート!AY$7))</f>
        <v>148.89344646424024</v>
      </c>
      <c r="BY6" s="9">
        <f>IF(管理者入力シート!$B$14=1,BX3*管理者用人口入力シート!AZ$3,IF(管理者入力シート!$B$14=2,BX3*管理者用人口入力シート!AZ$7))</f>
        <v>200.25815184457139</v>
      </c>
      <c r="BZ6" s="9">
        <f>IF(管理者入力シート!$B$14=1,BY3*管理者用人口入力シート!BA$3,IF(管理者入力シート!$B$14=2,BY3*管理者用人口入力シート!BA$7))</f>
        <v>200.88556429987125</v>
      </c>
      <c r="CA6" s="9">
        <f>IF(管理者入力シート!$B$14=1,BZ3*管理者用人口入力シート!BB$3,IF(管理者入力シート!$B$14=2,BZ3*管理者用人口入力シート!BB$7))</f>
        <v>169.69282716927879</v>
      </c>
      <c r="CB6" s="9">
        <f>IF(管理者入力シート!$B$14=1,CA3*管理者用人口入力シート!BC$3,IF(管理者入力シート!$B$14=2,CA3*管理者用人口入力シート!BC$7))</f>
        <v>76.642394606152706</v>
      </c>
      <c r="CC6" s="9">
        <f>IF(管理者入力シート!$B$14=1,CB3*管理者用人口入力シート!BD$3,IF(管理者入力シート!$B$14=2,CB3*管理者用人口入力シート!BD$7))</f>
        <v>37.835807729609357</v>
      </c>
      <c r="CD6" s="9">
        <f>IF(管理者入力シート!$B$14=1,CC3*管理者用人口入力シート!BE$3,IF(管理者入力シート!$B$14=2,CC3*管理者用人口入力シート!BE$7))</f>
        <v>11.752434983227047</v>
      </c>
      <c r="CE6" s="9">
        <f>IF(管理者入力シート!$B$14=1,CD3*管理者用人口入力シート!BF$3,IF(管理者入力シート!$B$14=2,CD3*管理者用人口入力シート!BF$7))</f>
        <v>1.9037568244251257</v>
      </c>
      <c r="CF6" s="9">
        <f t="shared" si="2"/>
        <v>2248.7953782883701</v>
      </c>
      <c r="CG6" s="9">
        <f t="shared" si="20"/>
        <v>118.30647154596294</v>
      </c>
      <c r="CH6" s="9">
        <f t="shared" si="21"/>
        <v>66.456499531097279</v>
      </c>
      <c r="CI6" s="9">
        <f t="shared" si="3"/>
        <v>847.86438392137586</v>
      </c>
      <c r="CJ6" s="9">
        <f t="shared" si="22"/>
        <v>498.71278561256423</v>
      </c>
      <c r="CK6" s="13">
        <f t="shared" si="23"/>
        <v>0.37703047245086058</v>
      </c>
      <c r="CL6" s="13">
        <f t="shared" si="24"/>
        <v>0.22176885919791886</v>
      </c>
      <c r="CM6" s="9">
        <f t="shared" si="25"/>
        <v>312.63937204604076</v>
      </c>
      <c r="CO6" s="7" t="str">
        <f t="shared" si="26"/>
        <v>2030_1</v>
      </c>
      <c r="CP6" s="28">
        <f>管理者入力シート!B9</f>
        <v>2030</v>
      </c>
      <c r="CQ6" s="3" t="s">
        <v>21</v>
      </c>
      <c r="CR6" s="9">
        <f>DT7*$AK$13+将来予測シート②!$G17</f>
        <v>63.821074243130063</v>
      </c>
      <c r="CS6" s="9">
        <f>IF(管理者入力シート!$B$14=1,CR3*管理者用人口入力シート!AM$3,IF(管理者入力シート!$B$14=2,CR3*管理者用人口入力シート!AM$7))+将来予測シート②!$G18</f>
        <v>87.219057832959905</v>
      </c>
      <c r="CT6" s="9">
        <f>IF(管理者入力シート!$B$14=1,CS3*管理者用人口入力シート!AN$3,IF(管理者入力シート!$B$14=2,CS3*管理者用人口入力シート!AN$7))+将来予測シート②!$G19</f>
        <v>112.13730457105387</v>
      </c>
      <c r="CU6" s="9">
        <f>IF(管理者入力シート!$B$14=1,CT3*管理者用人口入力シート!AO$3,IF(管理者入力シート!$B$14=2,CT3*管理者用人口入力シート!AO$7))+将来予測シート②!$G20</f>
        <v>110.84656024064483</v>
      </c>
      <c r="CV6" s="9">
        <f>IF(管理者入力シート!$B$14=1,CU3*管理者用人口入力シート!AP$3,IF(管理者入力シート!$B$14=2,CU3*管理者用人口入力シート!AP$7))+将来予測シート②!$G21</f>
        <v>65.090632381940594</v>
      </c>
      <c r="CW6" s="9">
        <f>IF(管理者入力シート!$B$14=1,CV3*管理者用人口入力シート!AQ$3,IF(管理者入力シート!$B$14=2,CV3*管理者用人口入力シート!AQ$7))+将来予測シート②!$G22</f>
        <v>78.198750790430495</v>
      </c>
      <c r="CX6" s="9">
        <f>IF(管理者入力シート!$B$14=1,CW3*管理者用人口入力シート!AR$3,IF(管理者入力シート!$B$14=2,CW3*管理者用人口入力シート!AR$7))+将来予測シート②!$G23</f>
        <v>74.794498980290228</v>
      </c>
      <c r="CY6" s="9">
        <f>IF(管理者入力シート!$B$14=1,CX3*管理者用人口入力シート!AS$3,IF(管理者入力シート!$B$14=2,CX3*管理者用人口入力シート!AS$7))+将来予測シート②!$G24</f>
        <v>98.609304619799829</v>
      </c>
      <c r="CZ6" s="9">
        <f>IF(管理者入力シート!$B$14=1,CY3*管理者用人口入力シート!AT$3,IF(管理者入力シート!$B$14=2,CY3*管理者用人口入力シート!AT$7))+将来予測シート②!$G25</f>
        <v>129.59619730256546</v>
      </c>
      <c r="DA6" s="9">
        <f>IF(管理者入力シート!$B$14=1,CZ3*管理者用人口入力シート!AU$3,IF(管理者入力シート!$B$14=2,CZ3*管理者用人口入力シート!AU$7))+将来予測シート②!$G26</f>
        <v>160.76018424503931</v>
      </c>
      <c r="DB6" s="9">
        <f>IF(管理者入力シート!$B$14=1,DA3*管理者用人口入力シート!AV$3,IF(管理者入力シート!$B$14=2,DA3*管理者用人口入力シート!AV$7))+将来予測シート②!$G27</f>
        <v>146.76106356341847</v>
      </c>
      <c r="DC6" s="9">
        <f>IF(管理者入力シート!$B$14=1,DB3*管理者用人口入力シート!AW$3,IF(管理者入力シート!$B$14=2,DB3*管理者用人口入力シート!AW$7))+将来予測シート②!$G28</f>
        <v>143.75113312247242</v>
      </c>
      <c r="DD6" s="9">
        <f>IF(管理者入力シート!$B$14=1,DC3*管理者用人口入力シート!AX$3,IF(管理者入力シート!$B$14=2,DC3*管理者用人口入力シート!AX$7))+将来予測シート②!$G29</f>
        <v>138.23271478169741</v>
      </c>
      <c r="DE6" s="9">
        <f>IF(管理者入力シート!$B$14=1,DD3*管理者用人口入力シート!AY$3,IF(管理者入力シート!$B$14=2,DD3*管理者用人口入力シート!AY$7))</f>
        <v>148.89344646424024</v>
      </c>
      <c r="DF6" s="9">
        <f>IF(管理者入力シート!$B$14=1,DE3*管理者用人口入力シート!AZ$3,IF(管理者入力シート!$B$14=2,DE3*管理者用人口入力シート!AZ$7))</f>
        <v>200.25815184457139</v>
      </c>
      <c r="DG6" s="9">
        <f>IF(管理者入力シート!$B$14=1,DF3*管理者用人口入力シート!BA$3,IF(管理者入力シート!$B$14=2,DF3*管理者用人口入力シート!BA$7))</f>
        <v>200.88556429987125</v>
      </c>
      <c r="DH6" s="9">
        <f>IF(管理者入力シート!$B$14=1,DG3*管理者用人口入力シート!BB$3,IF(管理者入力シート!$B$14=2,DG3*管理者用人口入力シート!BB$7))</f>
        <v>169.69282716927879</v>
      </c>
      <c r="DI6" s="9">
        <f>IF(管理者入力シート!$B$14=1,DH3*管理者用人口入力シート!BC$3,IF(管理者入力シート!$B$14=2,DH3*管理者用人口入力シート!BC$7))</f>
        <v>76.642394606152706</v>
      </c>
      <c r="DJ6" s="9">
        <f>IF(管理者入力シート!$B$14=1,DI3*管理者用人口入力シート!BD$3,IF(管理者入力シート!$B$14=2,DI3*管理者用人口入力シート!BD$7))</f>
        <v>37.835807729609357</v>
      </c>
      <c r="DK6" s="9">
        <f>IF(管理者入力シート!$B$14=1,DJ3*管理者用人口入力シート!BE$3,IF(管理者入力シート!$B$14=2,DJ3*管理者用人口入力シート!BE$7))</f>
        <v>11.752434983227047</v>
      </c>
      <c r="DL6" s="9">
        <f>IF(管理者入力シート!$B$14=1,DK3*管理者用人口入力シート!BF$3,IF(管理者入力シート!$B$14=2,DK3*管理者用人口入力シート!BF$7))</f>
        <v>1.9037568244251257</v>
      </c>
      <c r="DM6" s="9">
        <f t="shared" ref="DM6:DM14" si="69">SUM(CR6:DL6)</f>
        <v>2257.6828605968185</v>
      </c>
      <c r="DN6" s="9">
        <f t="shared" si="34"/>
        <v>119.61381744240828</v>
      </c>
      <c r="DO6" s="9">
        <f t="shared" si="35"/>
        <v>67.024233876550511</v>
      </c>
      <c r="DP6" s="9">
        <f t="shared" si="6"/>
        <v>847.86438392137586</v>
      </c>
      <c r="DQ6" s="9">
        <f t="shared" si="36"/>
        <v>498.71278561256423</v>
      </c>
      <c r="DR6" s="13">
        <f t="shared" si="37"/>
        <v>0.37554627300365956</v>
      </c>
      <c r="DS6" s="13">
        <f t="shared" si="38"/>
        <v>0.22089585491238106</v>
      </c>
      <c r="DT6" s="9">
        <f t="shared" ref="DT6:DT14" si="70">SUM(CV6:CY6)</f>
        <v>316.69318677246116</v>
      </c>
      <c r="DV6" s="7" t="s">
        <v>400</v>
      </c>
      <c r="DX6" s="28">
        <f>管理者入力シート!B9</f>
        <v>2030</v>
      </c>
      <c r="DY6" s="3" t="s">
        <v>21</v>
      </c>
      <c r="DZ6" s="9">
        <f>FB7*$AK$13</f>
        <v>114.99095557710052</v>
      </c>
      <c r="EA6" s="129">
        <f>IF(管理者入力シート!$B$14=1,DZ3*管理者用人口入力シート!AM$3,IF(管理者入力シート!$B$14=2,DZ3*管理者用人口入力シート!AM$7))</f>
        <v>86.040148005551018</v>
      </c>
      <c r="EB6" s="9">
        <f>IF(管理者入力シート!$B$14=1,EA3*管理者用人口入力シート!AN$3,IF(管理者入力シート!$B$14=2,EA3*管理者用人口入力シート!AN$7))</f>
        <v>111.13730457105387</v>
      </c>
      <c r="EC6" s="9">
        <f>IF(管理者入力シート!$B$14=1,EB3*管理者用人口入力シート!AO$3,IF(管理者入力シート!$B$14=2,EB3*管理者用人口入力シート!AO$7))</f>
        <v>110.0078885133787</v>
      </c>
      <c r="ED6" s="9">
        <f>IF(管理者入力シート!$B$14=1,EC3*管理者用人口入力シート!AP$3,IF(管理者入力シート!$B$14=2,EC3*管理者用人口入力シート!AP$7))</f>
        <v>65.090632381940594</v>
      </c>
      <c r="EE6" s="9">
        <f>IF(管理者入力シート!$B$14=1,ED3*管理者用人口入力シート!AQ$3,IF(管理者入力シート!$B$14=2,ED3*管理者用人口入力シート!AQ$7))+DX1</f>
        <v>126.19875079043049</v>
      </c>
      <c r="EF6" s="9">
        <f>IF(管理者入力シート!$B$14=1,EE3*管理者用人口入力シート!AR$3,IF(管理者入力シート!$B$14=2,EE3*管理者用人口入力シート!AR$7))+DX1</f>
        <v>174.08605241437914</v>
      </c>
      <c r="EG6" s="9">
        <f>IF(管理者入力シート!$B$14=1,EF3*管理者用人口入力シート!AS$3,IF(管理者入力シート!$B$14=2,EF3*管理者用人口入力シート!AS$7))+DX1</f>
        <v>200.42126694544208</v>
      </c>
      <c r="EH6" s="9">
        <f>IF(管理者入力シート!$B$14=1,EG3*管理者用人口入力シート!AT$3,IF(管理者入力シート!$B$14=2,EG3*管理者用人口入力シート!AT$7))</f>
        <v>179.96524485700806</v>
      </c>
      <c r="EI6" s="9">
        <f>IF(管理者入力シート!$B$14=1,EH3*管理者用人口入力シート!AU$3,IF(管理者入力シート!$B$14=2,EH3*管理者用人口入力シート!AU$7))</f>
        <v>160.76018424503931</v>
      </c>
      <c r="EJ6" s="9">
        <f>IF(管理者入力シート!$B$14=1,EI3*管理者用人口入力シート!AV$3,IF(管理者入力シート!$B$14=2,EI3*管理者用人口入力シート!AV$7))</f>
        <v>146.76106356341847</v>
      </c>
      <c r="EK6" s="9">
        <f>IF(管理者入力シート!$B$14=1,EJ3*管理者用人口入力シート!AW$3,IF(管理者入力シート!$B$14=2,EJ3*管理者用人口入力シート!AW$7))</f>
        <v>143.75113312247242</v>
      </c>
      <c r="EL6" s="9">
        <f>IF(管理者入力シート!$B$14=1,EK3*管理者用人口入力シート!AX$3,IF(管理者入力シート!$B$14=2,EK3*管理者用人口入力シート!AX$7))</f>
        <v>138.23271478169741</v>
      </c>
      <c r="EM6" s="9">
        <f>IF(管理者入力シート!$B$14=1,EL3*管理者用人口入力シート!AY$3,IF(管理者入力シート!$B$14=2,EL3*管理者用人口入力シート!AY$7))</f>
        <v>148.89344646424024</v>
      </c>
      <c r="EN6" s="9">
        <f>IF(管理者入力シート!$B$14=1,EM3*管理者用人口入力シート!AZ$3,IF(管理者入力シート!$B$14=2,EM3*管理者用人口入力シート!AZ$7))</f>
        <v>200.25815184457139</v>
      </c>
      <c r="EO6" s="9">
        <f>IF(管理者入力シート!$B$14=1,EN3*管理者用人口入力シート!BA$3,IF(管理者入力シート!$B$14=2,EN3*管理者用人口入力シート!BA$7))</f>
        <v>200.88556429987125</v>
      </c>
      <c r="EP6" s="9">
        <f>IF(管理者入力シート!$B$14=1,EO3*管理者用人口入力シート!BB$3,IF(管理者入力シート!$B$14=2,EO3*管理者用人口入力シート!BB$7))</f>
        <v>169.69282716927879</v>
      </c>
      <c r="EQ6" s="9">
        <f>IF(管理者入力シート!$B$14=1,EP3*管理者用人口入力シート!BC$3,IF(管理者入力シート!$B$14=2,EP3*管理者用人口入力シート!BC$7))</f>
        <v>76.642394606152706</v>
      </c>
      <c r="ER6" s="9">
        <f>IF(管理者入力シート!$B$14=1,EQ3*管理者用人口入力シート!BD$3,IF(管理者入力シート!$B$14=2,EQ3*管理者用人口入力シート!BD$7))</f>
        <v>37.835807729609357</v>
      </c>
      <c r="ES6" s="9">
        <f>IF(管理者入力シート!$B$14=1,ER3*管理者用人口入力シート!BE$3,IF(管理者入力シート!$B$14=2,ER3*管理者用人口入力シート!BE$7))</f>
        <v>11.752434983227047</v>
      </c>
      <c r="ET6" s="9">
        <f>IF(管理者入力シート!$B$14=1,ES3*管理者用人口入力シート!BF$3,IF(管理者入力シート!$B$14=2,ES3*管理者用人口入力シート!BF$7))</f>
        <v>1.9037568244251257</v>
      </c>
      <c r="EU6" s="9">
        <f t="shared" ref="EU6:EU14" si="71">SUM(DZ6:ET6)</f>
        <v>2605.3077236902882</v>
      </c>
      <c r="EV6" s="9">
        <f t="shared" si="41"/>
        <v>118.30647154596294</v>
      </c>
      <c r="EW6" s="9">
        <f t="shared" si="42"/>
        <v>66.456499531097279</v>
      </c>
      <c r="EX6" s="9">
        <f t="shared" si="10"/>
        <v>847.86438392137586</v>
      </c>
      <c r="EY6" s="9">
        <f t="shared" si="43"/>
        <v>498.71278561256423</v>
      </c>
      <c r="EZ6" s="13">
        <f t="shared" si="44"/>
        <v>0.3254373278870944</v>
      </c>
      <c r="FA6" s="13">
        <f t="shared" si="45"/>
        <v>0.19142183515510502</v>
      </c>
      <c r="FB6" s="9">
        <f t="shared" ref="FB6:FB14" si="72">SUM(ED6:EG6)</f>
        <v>565.79670253219228</v>
      </c>
    </row>
    <row r="7" spans="1:158" x14ac:dyDescent="0.15">
      <c r="A7" s="7" t="str">
        <f t="shared" si="11"/>
        <v>2010_2</v>
      </c>
      <c r="B7" s="29">
        <v>2010</v>
      </c>
      <c r="C7" s="4" t="s">
        <v>22</v>
      </c>
      <c r="D7" s="10">
        <v>111.91001813236628</v>
      </c>
      <c r="E7" s="10">
        <v>104.8595829555757</v>
      </c>
      <c r="F7" s="10">
        <v>130.24600181323663</v>
      </c>
      <c r="G7" s="10">
        <v>137.32838621940164</v>
      </c>
      <c r="H7" s="10">
        <v>132.47099728014507</v>
      </c>
      <c r="I7" s="10">
        <v>162.00252039891205</v>
      </c>
      <c r="J7" s="10">
        <v>149.01708975521305</v>
      </c>
      <c r="K7" s="10">
        <v>151.02024478694469</v>
      </c>
      <c r="L7" s="10">
        <v>153.28806890299185</v>
      </c>
      <c r="M7" s="10">
        <v>189.65796010879419</v>
      </c>
      <c r="N7" s="10">
        <v>233.48492293744334</v>
      </c>
      <c r="O7" s="10">
        <v>286.50873073436082</v>
      </c>
      <c r="P7" s="10">
        <v>256.58134179510427</v>
      </c>
      <c r="Q7" s="10">
        <v>189.54752493200363</v>
      </c>
      <c r="R7" s="10">
        <v>183.38785131459656</v>
      </c>
      <c r="S7" s="10">
        <v>197.49480507706255</v>
      </c>
      <c r="T7" s="10">
        <v>185.36219401631914</v>
      </c>
      <c r="U7" s="10">
        <v>152.47283771532184</v>
      </c>
      <c r="V7" s="10">
        <v>90.386418857660928</v>
      </c>
      <c r="W7" s="10">
        <v>27.042067089755214</v>
      </c>
      <c r="X7" s="10">
        <v>7.6404351767905716</v>
      </c>
      <c r="Y7" s="10">
        <f t="shared" si="68"/>
        <v>3231.71</v>
      </c>
      <c r="Z7" s="10">
        <f t="shared" si="12"/>
        <v>141.0633508612874</v>
      </c>
      <c r="AA7" s="10">
        <f t="shared" si="13"/>
        <v>79.564077969174974</v>
      </c>
      <c r="AB7" s="10">
        <f t="shared" si="0"/>
        <v>1033.3341341795103</v>
      </c>
      <c r="AC7" s="10">
        <f t="shared" si="14"/>
        <v>660.39875793291014</v>
      </c>
      <c r="AD7" s="14">
        <f t="shared" si="15"/>
        <v>0.31974841003045146</v>
      </c>
      <c r="AE7" s="14">
        <f t="shared" si="16"/>
        <v>0.20434963469275094</v>
      </c>
      <c r="AF7" s="10">
        <f t="shared" si="17"/>
        <v>594.5108522212148</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1.1789098274088987</v>
      </c>
      <c r="AN7" s="48">
        <f t="shared" si="73"/>
        <v>1.0286123020330606</v>
      </c>
      <c r="AO7" s="48">
        <f t="shared" si="73"/>
        <v>0.83867172726613171</v>
      </c>
      <c r="AP7" s="48">
        <f t="shared" si="73"/>
        <v>0.66465250681856891</v>
      </c>
      <c r="AQ7" s="48">
        <f t="shared" si="73"/>
        <v>0.92286985655283937</v>
      </c>
      <c r="AR7" s="48">
        <f t="shared" si="73"/>
        <v>1.0269073632101853</v>
      </c>
      <c r="AS7" s="48">
        <f t="shared" si="73"/>
        <v>1.0362392465128449</v>
      </c>
      <c r="AT7" s="48">
        <f t="shared" si="73"/>
        <v>1.0073809510888525</v>
      </c>
      <c r="AU7" s="48">
        <f t="shared" si="73"/>
        <v>1.0266415396609969</v>
      </c>
      <c r="AV7" s="48">
        <f t="shared" si="73"/>
        <v>1.0163960086632178</v>
      </c>
      <c r="AW7" s="48">
        <f t="shared" si="73"/>
        <v>0.96115843522442157</v>
      </c>
      <c r="AX7" s="48">
        <f t="shared" si="73"/>
        <v>1.0047909127907753</v>
      </c>
      <c r="AY7" s="48">
        <f t="shared" si="73"/>
        <v>0.93307787705585776</v>
      </c>
      <c r="AZ7" s="48">
        <f t="shared" si="73"/>
        <v>0.94274159642135213</v>
      </c>
      <c r="BA7" s="48">
        <f t="shared" si="73"/>
        <v>0.86478398804077228</v>
      </c>
      <c r="BB7" s="48">
        <f t="shared" si="73"/>
        <v>0.83420398725135592</v>
      </c>
      <c r="BC7" s="48">
        <f t="shared" si="73"/>
        <v>0.74121186908662973</v>
      </c>
      <c r="BD7" s="48">
        <f t="shared" si="73"/>
        <v>0.47054301865454284</v>
      </c>
      <c r="BE7" s="48">
        <f t="shared" si="73"/>
        <v>0.27380172748658188</v>
      </c>
      <c r="BF7" s="48">
        <f t="shared" si="73"/>
        <v>0.19772534749060519</v>
      </c>
      <c r="BH7" s="7" t="str">
        <f t="shared" si="19"/>
        <v>2030_2</v>
      </c>
      <c r="BI7" s="29">
        <f>BI6</f>
        <v>2030</v>
      </c>
      <c r="BJ7" s="4" t="s">
        <v>22</v>
      </c>
      <c r="BK7" s="10">
        <f>CM7*$AK$14</f>
        <v>57.993081772949324</v>
      </c>
      <c r="BL7" s="10">
        <f>IF(管理者入力シート!$B$14=1,BK4*管理者用人口入力シート!AM$4,IF(管理者入力シート!$B$14=2,BK4*管理者用人口入力シート!AM$8))</f>
        <v>77.863155694808867</v>
      </c>
      <c r="BM7" s="10">
        <f>IF(管理者入力シート!$B$14=1,BL4*管理者用人口入力シート!AN$4,IF(管理者入力シート!$B$14=2,BL4*管理者用人口入力シート!AN$8))</f>
        <v>105.30452129167422</v>
      </c>
      <c r="BN7" s="10">
        <f>IF(管理者入力シート!$B$14=1,BM4*管理者用人口入力シート!AO$4,IF(管理者入力シート!$B$14=2,BM4*管理者用人口入力シート!AO$8))</f>
        <v>111.29395559536584</v>
      </c>
      <c r="BO7" s="10">
        <f>IF(管理者入力シート!$B$14=1,BN4*管理者用人口入力シート!AP$4,IF(管理者入力シート!$B$14=2,BN4*管理者用人口入力シート!AP$8))</f>
        <v>83.053552891028744</v>
      </c>
      <c r="BP7" s="10">
        <f>IF(管理者入力シート!$B$14=1,BO4*管理者用人口入力シート!AQ$4,IF(管理者入力シート!$B$14=2,BO4*管理者用人口入力シート!AQ$8))</f>
        <v>64.900441803026524</v>
      </c>
      <c r="BQ7" s="10">
        <f>IF(管理者入力シート!$B$14=1,BP4*管理者用人口入力シート!AR$4,IF(管理者入力シート!$B$14=2,BP4*管理者用人口入力シート!AR$8))</f>
        <v>55.793199934708795</v>
      </c>
      <c r="BR7" s="10">
        <f>IF(管理者入力シート!$B$14=1,BQ4*管理者用人口入力シート!AS$4,IF(管理者入力シート!$B$14=2,BQ4*管理者用人口入力シート!AS$8))</f>
        <v>88.459477263238043</v>
      </c>
      <c r="BS7" s="10">
        <f>IF(管理者入力シート!$B$14=1,BR4*管理者用人口入力シート!AT$4,IF(管理者入力シート!$B$14=2,BR4*管理者用人口入力シート!AT$8))</f>
        <v>127.73305289375038</v>
      </c>
      <c r="BT7" s="10">
        <f>IF(管理者入力シート!$B$14=1,BS4*管理者用人口入力シート!AU$4,IF(管理者入力シート!$B$14=2,BS4*管理者用人口入力シート!AU$8))</f>
        <v>160.96320774737697</v>
      </c>
      <c r="BU7" s="10">
        <f>IF(管理者入力シート!$B$14=1,BT4*管理者用人口入力シート!AV$4,IF(管理者入力シート!$B$14=2,BT4*管理者用人口入力シート!AV$8))</f>
        <v>165.21209321927742</v>
      </c>
      <c r="BV7" s="10">
        <f>IF(管理者入力シート!$B$14=1,BU4*管理者用人口入力シート!AW$4,IF(管理者入力シート!$B$14=2,BU4*管理者用人口入力シート!AW$8))</f>
        <v>143.63035308890579</v>
      </c>
      <c r="BW7" s="10">
        <f>IF(管理者入力シート!$B$14=1,BV4*管理者用人口入力シート!AX$4,IF(管理者入力シート!$B$14=2,BV4*管理者用人口入力シート!AX$8))</f>
        <v>149.04004182438354</v>
      </c>
      <c r="BX7" s="10">
        <f>IF(管理者入力シート!$B$14=1,BW4*管理者用人口入力シート!AY$4,IF(管理者入力シート!$B$14=2,BW4*管理者用人口入力シート!AY$8))</f>
        <v>166.97006772142916</v>
      </c>
      <c r="BY7" s="10">
        <f>IF(管理者入力シート!$B$14=1,BX4*管理者用人口入力シート!AZ$4,IF(管理者入力シート!$B$14=2,BX4*管理者用人口入力シート!AZ$8))</f>
        <v>232.66106343836685</v>
      </c>
      <c r="BZ7" s="10">
        <f>IF(管理者入力シート!$B$14=1,BY4*管理者用人口入力シート!BA$4,IF(管理者入力シート!$B$14=2,BY4*管理者用人口入力シート!BA$8))</f>
        <v>255.32258318043216</v>
      </c>
      <c r="CA7" s="10">
        <f>IF(管理者入力シート!$B$14=1,BZ4*管理者用人口入力シート!BB$4,IF(管理者入力シート!$B$14=2,BZ4*管理者用人口入力シート!BB$8))</f>
        <v>231.28591680195245</v>
      </c>
      <c r="CB7" s="10">
        <f>IF(管理者入力シート!$B$14=1,CA4*管理者用人口入力シート!BC$4,IF(管理者入力シート!$B$14=2,CA4*管理者用人口入力シート!BC$8))</f>
        <v>172.89928886652294</v>
      </c>
      <c r="CC7" s="10">
        <f>IF(管理者入力シート!$B$14=1,CB4*管理者用人口入力シート!BD$4,IF(管理者入力シート!$B$14=2,CB4*管理者用人口入力シート!BD$8))</f>
        <v>126.91391350678869</v>
      </c>
      <c r="CD7" s="10">
        <f>IF(管理者入力シート!$B$14=1,CC4*管理者用人口入力シート!BE$4,IF(管理者入力シート!$B$14=2,CC4*管理者用人口入力シート!BE$8))</f>
        <v>63.800265941420129</v>
      </c>
      <c r="CE7" s="10">
        <f>IF(管理者入力シート!$B$14=1,CD4*管理者用人口入力シート!BF$4,IF(管理者入力シート!$B$14=2,CD4*管理者用人口入力シート!BF$8))</f>
        <v>11.452374972780195</v>
      </c>
      <c r="CF7" s="10">
        <f t="shared" si="2"/>
        <v>2652.5456094501869</v>
      </c>
      <c r="CG7" s="10">
        <f t="shared" si="20"/>
        <v>109.90060619188985</v>
      </c>
      <c r="CH7" s="10">
        <f t="shared" si="21"/>
        <v>64.380599635742854</v>
      </c>
      <c r="CI7" s="10">
        <f t="shared" si="3"/>
        <v>1261.3054744296926</v>
      </c>
      <c r="CJ7" s="10">
        <f t="shared" si="22"/>
        <v>861.67434326989655</v>
      </c>
      <c r="CK7" s="14">
        <f t="shared" si="23"/>
        <v>0.47550755392708699</v>
      </c>
      <c r="CL7" s="14">
        <f t="shared" si="24"/>
        <v>0.32484807808771377</v>
      </c>
      <c r="CM7" s="10">
        <f t="shared" si="25"/>
        <v>292.20667189200213</v>
      </c>
      <c r="CO7" s="7" t="str">
        <f t="shared" si="26"/>
        <v>2030_2</v>
      </c>
      <c r="CP7" s="29">
        <f>CP6</f>
        <v>2030</v>
      </c>
      <c r="CQ7" s="4" t="s">
        <v>22</v>
      </c>
      <c r="CR7" s="10">
        <f>DT7*$AK$14+将来予測シート②!$H17</f>
        <v>59.756364616474109</v>
      </c>
      <c r="CS7" s="10">
        <f>IF(管理者入力シート!$B$14=1,CR4*管理者用人口入力シート!AM$4,IF(管理者入力シート!$B$14=2,CR4*管理者用人口入力シート!AM$8))+将来予測シート②!$H18</f>
        <v>79.00383058565518</v>
      </c>
      <c r="CT7" s="10">
        <f>IF(管理者入力シート!$B$14=1,CS4*管理者用人口入力シート!AN$4,IF(管理者入力シート!$B$14=2,CS4*管理者用人口入力シート!AN$8))+将来予測シート②!$H19</f>
        <v>106.30452129167422</v>
      </c>
      <c r="CU7" s="10">
        <f>IF(管理者入力シート!$B$14=1,CT4*管理者用人口入力シート!AO$4,IF(管理者入力シート!$B$14=2,CT4*管理者用人口入力シート!AO$8))+将来予測シート②!$H20</f>
        <v>112.17488550462517</v>
      </c>
      <c r="CV7" s="10">
        <f>IF(管理者入力シート!$B$14=1,CU4*管理者用人口入力シート!AP$4,IF(管理者入力シート!$B$14=2,CU4*管理者用人口入力シート!AP$8))+将来予測シート②!$H21</f>
        <v>83.053552891028744</v>
      </c>
      <c r="CW7" s="10">
        <f>IF(管理者入力シート!$B$14=1,CV4*管理者用人口入力シート!AQ$4,IF(管理者入力シート!$B$14=2,CV4*管理者用人口入力シート!AQ$8))+将来予測シート②!$H22</f>
        <v>66.900441803026524</v>
      </c>
      <c r="CX7" s="10">
        <f>IF(管理者入力シート!$B$14=1,CW4*管理者用人口入力シート!AR$4,IF(管理者入力シート!$B$14=2,CW4*管理者用人口入力シート!AR$8))+将来予測シート②!$H23</f>
        <v>57.639112802244625</v>
      </c>
      <c r="CY7" s="10">
        <f>IF(管理者入力シート!$B$14=1,CX4*管理者用人口入力シート!AS$4,IF(管理者入力シート!$B$14=2,CX4*管理者用人口入力シート!AS$8))+将来予測シート②!$H24</f>
        <v>88.459477263238043</v>
      </c>
      <c r="CZ7" s="10">
        <f>IF(管理者入力シート!$B$14=1,CY4*管理者用人口入力シート!AT$4,IF(管理者入力シート!$B$14=2,CY4*管理者用人口入力シート!AT$8))+将来予測シート②!$H25</f>
        <v>128.73305289375037</v>
      </c>
      <c r="DA7" s="10">
        <f>IF(管理者入力シート!$B$14=1,CZ4*管理者用人口入力シート!AU$4,IF(管理者入力シート!$B$14=2,CZ4*管理者用人口入力シート!AU$8))+将来予測シート②!$H26</f>
        <v>161.98954109709777</v>
      </c>
      <c r="DB7" s="10">
        <f>IF(管理者入力シート!$B$14=1,DA4*管理者用人口入力シート!AV$4,IF(管理者入力シート!$B$14=2,DA4*管理者用人口入力シート!AV$8))+将来予測シート②!$H27</f>
        <v>165.21209321927742</v>
      </c>
      <c r="DC7" s="10">
        <f>IF(管理者入力シート!$B$14=1,DB4*管理者用人口入力シート!AW$4,IF(管理者入力シート!$B$14=2,DB4*管理者用人口入力シート!AW$8))+将来予測シート②!$H28</f>
        <v>143.63035308890579</v>
      </c>
      <c r="DD7" s="10">
        <f>IF(管理者入力シート!$B$14=1,DC4*管理者用人口入力シート!AX$4,IF(管理者入力シート!$B$14=2,DC4*管理者用人口入力シート!AX$8))+将来予測シート②!$H29</f>
        <v>149.04004182438354</v>
      </c>
      <c r="DE7" s="10">
        <f>IF(管理者入力シート!$B$14=1,DD4*管理者用人口入力シート!AY$4,IF(管理者入力シート!$B$14=2,DD4*管理者用人口入力シート!AY$8))</f>
        <v>166.97006772142916</v>
      </c>
      <c r="DF7" s="10">
        <f>IF(管理者入力シート!$B$14=1,DE4*管理者用人口入力シート!AZ$4,IF(管理者入力シート!$B$14=2,DE4*管理者用人口入力シート!AZ$8))</f>
        <v>232.66106343836685</v>
      </c>
      <c r="DG7" s="10">
        <f>IF(管理者入力シート!$B$14=1,DF4*管理者用人口入力シート!BA$4,IF(管理者入力シート!$B$14=2,DF4*管理者用人口入力シート!BA$8))</f>
        <v>255.32258318043216</v>
      </c>
      <c r="DH7" s="10">
        <f>IF(管理者入力シート!$B$14=1,DG4*管理者用人口入力シート!BB$4,IF(管理者入力シート!$B$14=2,DG4*管理者用人口入力シート!BB$8))</f>
        <v>231.28591680195245</v>
      </c>
      <c r="DI7" s="10">
        <f>IF(管理者入力シート!$B$14=1,DH4*管理者用人口入力シート!BC$4,IF(管理者入力シート!$B$14=2,DH4*管理者用人口入力シート!BC$8))</f>
        <v>172.89928886652294</v>
      </c>
      <c r="DJ7" s="10">
        <f>IF(管理者入力シート!$B$14=1,DI4*管理者用人口入力シート!BD$4,IF(管理者入力シート!$B$14=2,DI4*管理者用人口入力シート!BD$8))</f>
        <v>126.91391350678869</v>
      </c>
      <c r="DK7" s="10">
        <f>IF(管理者入力シート!$B$14=1,DJ4*管理者用人口入力シート!BE$4,IF(管理者入力シート!$B$14=2,DJ4*管理者用人口入力シート!BE$8))</f>
        <v>63.800265941420129</v>
      </c>
      <c r="DL7" s="10">
        <f>IF(管理者入力シート!$B$14=1,DK4*管理者用人口入力シート!BF$4,IF(管理者入力シート!$B$14=2,DK4*管理者用人口入力シート!BF$8))</f>
        <v>11.452374972780195</v>
      </c>
      <c r="DM7" s="10">
        <f t="shared" si="69"/>
        <v>2663.2027433110734</v>
      </c>
      <c r="DN7" s="10">
        <f t="shared" si="34"/>
        <v>111.18501112639763</v>
      </c>
      <c r="DO7" s="10">
        <f t="shared" si="35"/>
        <v>64.956785617594718</v>
      </c>
      <c r="DP7" s="10">
        <f t="shared" si="6"/>
        <v>1261.3054744296926</v>
      </c>
      <c r="DQ7" s="10">
        <f t="shared" si="36"/>
        <v>861.67434326989655</v>
      </c>
      <c r="DR7" s="14">
        <f t="shared" si="37"/>
        <v>0.47360475187163276</v>
      </c>
      <c r="DS7" s="14">
        <f t="shared" si="38"/>
        <v>0.3235481584847742</v>
      </c>
      <c r="DT7" s="10">
        <f t="shared" si="70"/>
        <v>296.05258475953792</v>
      </c>
      <c r="DV7" s="7" t="s">
        <v>401</v>
      </c>
      <c r="DW7" s="209">
        <f>(SUM(BK12:BW12)-SUM(D12:P12))/4</f>
        <v>-142.16638195353357</v>
      </c>
      <c r="DX7" s="29">
        <f>DX6</f>
        <v>2030</v>
      </c>
      <c r="DY7" s="4" t="s">
        <v>22</v>
      </c>
      <c r="DZ7" s="10">
        <f>FB7*$AK$14</f>
        <v>107.55070006183095</v>
      </c>
      <c r="EA7" s="10">
        <f>IF(管理者入力シート!$B$14=1,DZ4*管理者用人口入力シート!AM$4,IF(管理者入力シート!$B$14=2,DZ4*管理者用人口入力シート!AM$8))</f>
        <v>77.863155694808867</v>
      </c>
      <c r="EB7" s="10">
        <f>IF(管理者入力シート!$B$14=1,EA4*管理者用人口入力シート!AN$4,IF(管理者入力シート!$B$14=2,EA4*管理者用人口入力シート!AN$8))</f>
        <v>105.30452129167422</v>
      </c>
      <c r="EC7" s="10">
        <f>IF(管理者入力シート!$B$14=1,EB4*管理者用人口入力シート!AO$4,IF(管理者入力シート!$B$14=2,EB4*管理者用人口入力シート!AO$8))</f>
        <v>111.29395559536584</v>
      </c>
      <c r="ED7" s="10">
        <f>IF(管理者入力シート!$B$14=1,EC4*管理者用人口入力シート!AP$4,IF(管理者入力シート!$B$14=2,EC4*管理者用人口入力シート!AP$8))</f>
        <v>83.053552891028744</v>
      </c>
      <c r="EE7" s="10">
        <f>IF(管理者入力シート!$B$14=1,ED4*管理者用人口入力シート!AQ$4,IF(管理者入力シート!$B$14=2,ED4*管理者用人口入力シート!AQ$8))+DX1</f>
        <v>114.90044180302652</v>
      </c>
      <c r="EF7" s="10">
        <f>IF(管理者入力シート!$B$14=1,EE4*管理者用人口入力シート!AR$4,IF(管理者入力シート!$B$14=2,EE4*管理者用人口入力シート!AR$8))+DX1</f>
        <v>151.94102162310463</v>
      </c>
      <c r="EG7" s="10">
        <f>IF(管理者入力シート!$B$14=1,EF4*管理者用人口入力シート!AS$4,IF(管理者入力シート!$B$14=2,EF4*管理者用人口入力シート!AS$8))+DX1</f>
        <v>192.01500404981428</v>
      </c>
      <c r="EH7" s="10">
        <f>IF(管理者入力シート!$B$14=1,EG4*管理者用人口入力シート!AT$4,IF(管理者入力シート!$B$14=2,EG4*管理者用人口入力シート!AT$8))</f>
        <v>178.3167048326313</v>
      </c>
      <c r="EI7" s="10">
        <f>IF(管理者入力シート!$B$14=1,EH4*管理者用人口入力シート!AU$4,IF(管理者入力シート!$B$14=2,EH4*管理者用人口入力シート!AU$8))</f>
        <v>160.96320774737697</v>
      </c>
      <c r="EJ7" s="10">
        <f>IF(管理者入力シート!$B$14=1,EI4*管理者用人口入力シート!AV$4,IF(管理者入力シート!$B$14=2,EI4*管理者用人口入力シート!AV$8))</f>
        <v>165.21209321927742</v>
      </c>
      <c r="EK7" s="10">
        <f>IF(管理者入力シート!$B$14=1,EJ4*管理者用人口入力シート!AW$4,IF(管理者入力シート!$B$14=2,EJ4*管理者用人口入力シート!AW$8))</f>
        <v>143.63035308890579</v>
      </c>
      <c r="EL7" s="10">
        <f>IF(管理者入力シート!$B$14=1,EK4*管理者用人口入力シート!AX$4,IF(管理者入力シート!$B$14=2,EK4*管理者用人口入力シート!AX$8))</f>
        <v>149.04004182438354</v>
      </c>
      <c r="EM7" s="10">
        <f>IF(管理者入力シート!$B$14=1,EL4*管理者用人口入力シート!AY$4,IF(管理者入力シート!$B$14=2,EL4*管理者用人口入力シート!AY$8))</f>
        <v>166.97006772142916</v>
      </c>
      <c r="EN7" s="10">
        <f>IF(管理者入力シート!$B$14=1,EM4*管理者用人口入力シート!AZ$4,IF(管理者入力シート!$B$14=2,EM4*管理者用人口入力シート!AZ$8))</f>
        <v>232.66106343836685</v>
      </c>
      <c r="EO7" s="10">
        <f>IF(管理者入力シート!$B$14=1,EN4*管理者用人口入力シート!BA$4,IF(管理者入力シート!$B$14=2,EN4*管理者用人口入力シート!BA$8))</f>
        <v>255.32258318043216</v>
      </c>
      <c r="EP7" s="10">
        <f>IF(管理者入力シート!$B$14=1,EO4*管理者用人口入力シート!BB$4,IF(管理者入力シート!$B$14=2,EO4*管理者用人口入力シート!BB$8))</f>
        <v>231.28591680195245</v>
      </c>
      <c r="EQ7" s="10">
        <f>IF(管理者入力シート!$B$14=1,EP4*管理者用人口入力シート!BC$4,IF(管理者入力シート!$B$14=2,EP4*管理者用人口入力シート!BC$8))</f>
        <v>172.89928886652294</v>
      </c>
      <c r="ER7" s="10">
        <f>IF(管理者入力シート!$B$14=1,EQ4*管理者用人口入力シート!BD$4,IF(管理者入力シート!$B$14=2,EQ4*管理者用人口入力シート!BD$8))</f>
        <v>126.91391350678869</v>
      </c>
      <c r="ES7" s="10">
        <f>IF(管理者入力シート!$B$14=1,ER4*管理者用人口入力シート!BE$4,IF(管理者入力シート!$B$14=2,ER4*管理者用人口入力シート!BE$8))</f>
        <v>63.800265941420129</v>
      </c>
      <c r="ET7" s="10">
        <f>IF(管理者入力シート!$B$14=1,ES4*管理者用人口入力シート!BF$4,IF(管理者入力シート!$B$14=2,ES4*管理者用人口入力シート!BF$8))</f>
        <v>11.452374972780195</v>
      </c>
      <c r="EU7" s="10">
        <f t="shared" si="71"/>
        <v>3002.3902281529208</v>
      </c>
      <c r="EV7" s="10">
        <f t="shared" si="41"/>
        <v>109.90060619188985</v>
      </c>
      <c r="EW7" s="10">
        <f t="shared" si="42"/>
        <v>64.380599635742854</v>
      </c>
      <c r="EX7" s="10">
        <f t="shared" si="10"/>
        <v>1261.3054744296926</v>
      </c>
      <c r="EY7" s="10">
        <f t="shared" si="43"/>
        <v>861.67434326989655</v>
      </c>
      <c r="EZ7" s="14">
        <f t="shared" si="44"/>
        <v>0.42010044617206582</v>
      </c>
      <c r="FA7" s="14">
        <f t="shared" si="45"/>
        <v>0.28699611902214361</v>
      </c>
      <c r="FB7" s="10">
        <f t="shared" si="72"/>
        <v>541.91002036697421</v>
      </c>
    </row>
    <row r="8" spans="1:158" x14ac:dyDescent="0.15">
      <c r="A8" s="7" t="str">
        <f t="shared" si="11"/>
        <v>2010_3</v>
      </c>
      <c r="B8" s="30">
        <v>2010</v>
      </c>
      <c r="C8" s="5" t="s">
        <v>23</v>
      </c>
      <c r="D8" s="11">
        <v>226.68082235505287</v>
      </c>
      <c r="E8" s="11">
        <v>242.9710785396943</v>
      </c>
      <c r="F8" s="11">
        <v>268.09894813267829</v>
      </c>
      <c r="G8" s="11">
        <v>282.16989737738766</v>
      </c>
      <c r="H8" s="11">
        <v>259.88581453362451</v>
      </c>
      <c r="I8" s="11">
        <v>306.52356493228746</v>
      </c>
      <c r="J8" s="11">
        <v>286.17015908849385</v>
      </c>
      <c r="K8" s="11">
        <v>301.43486243864209</v>
      </c>
      <c r="L8" s="11">
        <v>289.12098979168798</v>
      </c>
      <c r="M8" s="11">
        <v>360.77415022825954</v>
      </c>
      <c r="N8" s="11">
        <v>458.50002692750763</v>
      </c>
      <c r="O8" s="11">
        <v>545.42884172280856</v>
      </c>
      <c r="P8" s="11">
        <v>532.82599887431411</v>
      </c>
      <c r="Q8" s="11">
        <v>334.62401765762758</v>
      </c>
      <c r="R8" s="11">
        <v>343.02793145101577</v>
      </c>
      <c r="S8" s="11">
        <v>344.59525997198824</v>
      </c>
      <c r="T8" s="11">
        <v>296.03006562062461</v>
      </c>
      <c r="U8" s="11">
        <v>186.73796772754437</v>
      </c>
      <c r="V8" s="11">
        <v>113.06685433453669</v>
      </c>
      <c r="W8" s="11">
        <v>31.68223110820729</v>
      </c>
      <c r="X8" s="11">
        <v>8.9605171860166095</v>
      </c>
      <c r="Y8" s="11">
        <f t="shared" si="68"/>
        <v>6019.3099999999995</v>
      </c>
      <c r="Z8" s="11">
        <f t="shared" si="12"/>
        <v>306.64201600342358</v>
      </c>
      <c r="AA8" s="11">
        <f t="shared" si="13"/>
        <v>163.67355872854884</v>
      </c>
      <c r="AB8" s="11">
        <f t="shared" si="0"/>
        <v>1658.7248450575612</v>
      </c>
      <c r="AC8" s="11">
        <f t="shared" si="14"/>
        <v>981.07289594891779</v>
      </c>
      <c r="AD8" s="15">
        <f t="shared" si="15"/>
        <v>0.27556727350104271</v>
      </c>
      <c r="AE8" s="15">
        <f t="shared" si="16"/>
        <v>0.16298760089593622</v>
      </c>
      <c r="AF8" s="11">
        <f t="shared" si="17"/>
        <v>1154.014400993048</v>
      </c>
      <c r="AH8" s="7"/>
      <c r="AI8" s="30" t="s">
        <v>88</v>
      </c>
      <c r="AJ8" s="5">
        <f>AJ7</f>
        <v>2010</v>
      </c>
      <c r="AK8" s="5">
        <f>AK7</f>
        <v>2020</v>
      </c>
      <c r="AL8" s="33" t="s">
        <v>22</v>
      </c>
      <c r="AM8" s="47">
        <f t="shared" si="73"/>
        <v>1.14067489084631</v>
      </c>
      <c r="AN8" s="47">
        <f t="shared" si="73"/>
        <v>1.0769809474009284</v>
      </c>
      <c r="AO8" s="47">
        <f t="shared" si="73"/>
        <v>0.8809299092593198</v>
      </c>
      <c r="AP8" s="47">
        <f t="shared" si="73"/>
        <v>0.71414872512105221</v>
      </c>
      <c r="AQ8" s="47">
        <f t="shared" si="73"/>
        <v>0.86945876969500913</v>
      </c>
      <c r="AR8" s="47">
        <f t="shared" si="73"/>
        <v>0.92295643376791636</v>
      </c>
      <c r="AS8" s="47">
        <f t="shared" si="73"/>
        <v>1.0711105357315247</v>
      </c>
      <c r="AT8" s="47">
        <f t="shared" si="73"/>
        <v>1.0116730387776183</v>
      </c>
      <c r="AU8" s="47">
        <f t="shared" si="73"/>
        <v>1.026333349720808</v>
      </c>
      <c r="AV8" s="47">
        <f t="shared" si="73"/>
        <v>0.95495376158310408</v>
      </c>
      <c r="AW8" s="47">
        <f t="shared" si="73"/>
        <v>0.99998662287530071</v>
      </c>
      <c r="AX8" s="47">
        <f t="shared" si="73"/>
        <v>0.98223271528373524</v>
      </c>
      <c r="AY8" s="47">
        <f t="shared" si="73"/>
        <v>0.99142621836610367</v>
      </c>
      <c r="AZ8" s="47">
        <f t="shared" si="73"/>
        <v>0.96861607372013103</v>
      </c>
      <c r="BA8" s="47">
        <f t="shared" si="73"/>
        <v>0.96303349768292912</v>
      </c>
      <c r="BB8" s="47">
        <f t="shared" si="73"/>
        <v>0.99554833101153717</v>
      </c>
      <c r="BC8" s="47">
        <f t="shared" si="73"/>
        <v>0.9921439169151276</v>
      </c>
      <c r="BD8" s="47">
        <f t="shared" si="73"/>
        <v>0.69943649970441635</v>
      </c>
      <c r="BE8" s="47">
        <f t="shared" si="73"/>
        <v>0.47453282864651414</v>
      </c>
      <c r="BF8" s="47">
        <f t="shared" si="73"/>
        <v>0.20686428786921238</v>
      </c>
      <c r="BH8" s="7" t="str">
        <f t="shared" si="19"/>
        <v>2030_3</v>
      </c>
      <c r="BI8" s="30">
        <f>BI7</f>
        <v>2030</v>
      </c>
      <c r="BJ8" s="5" t="s">
        <v>23</v>
      </c>
      <c r="BK8" s="16">
        <f>BK6+BK7</f>
        <v>119.99806998872613</v>
      </c>
      <c r="BL8" s="16">
        <f t="shared" ref="BL8" si="74">BL6+BL7</f>
        <v>163.90330370035988</v>
      </c>
      <c r="BM8" s="16">
        <f t="shared" ref="BM8" si="75">BM6+BM7</f>
        <v>216.44182586272808</v>
      </c>
      <c r="BN8" s="16">
        <f t="shared" ref="BN8" si="76">BN6+BN7</f>
        <v>221.30184410874455</v>
      </c>
      <c r="BO8" s="16">
        <f t="shared" ref="BO8" si="77">BO6+BO7</f>
        <v>148.14418527296934</v>
      </c>
      <c r="BP8" s="16">
        <f t="shared" ref="BP8" si="78">BP6+BP7</f>
        <v>141.09919259345702</v>
      </c>
      <c r="BQ8" s="16">
        <f t="shared" ref="BQ8" si="79">BQ6+BQ7</f>
        <v>128.53388418857867</v>
      </c>
      <c r="BR8" s="16">
        <f t="shared" ref="BR8" si="80">BR6+BR7</f>
        <v>187.06878188303787</v>
      </c>
      <c r="BS8" s="16">
        <f t="shared" ref="BS8" si="81">BS6+BS7</f>
        <v>257.32925019631585</v>
      </c>
      <c r="BT8" s="16">
        <f t="shared" ref="BT8" si="82">BT6+BT7</f>
        <v>321.72339199241628</v>
      </c>
      <c r="BU8" s="16">
        <f t="shared" ref="BU8" si="83">BU6+BU7</f>
        <v>311.97315678269592</v>
      </c>
      <c r="BV8" s="16">
        <f t="shared" ref="BV8" si="84">BV6+BV7</f>
        <v>287.38148621137822</v>
      </c>
      <c r="BW8" s="16">
        <f t="shared" ref="BW8" si="85">BW6+BW7</f>
        <v>287.27275660608097</v>
      </c>
      <c r="BX8" s="16">
        <f t="shared" ref="BX8" si="86">BX6+BX7</f>
        <v>315.86351418566937</v>
      </c>
      <c r="BY8" s="16">
        <f t="shared" ref="BY8" si="87">BY6+BY7</f>
        <v>432.91921528293824</v>
      </c>
      <c r="BZ8" s="16">
        <f t="shared" ref="BZ8" si="88">BZ6+BZ7</f>
        <v>456.20814748030341</v>
      </c>
      <c r="CA8" s="16">
        <f t="shared" ref="CA8" si="89">CA6+CA7</f>
        <v>400.97874397123121</v>
      </c>
      <c r="CB8" s="16">
        <f t="shared" ref="CB8" si="90">CB6+CB7</f>
        <v>249.54168347267563</v>
      </c>
      <c r="CC8" s="16">
        <f t="shared" ref="CC8" si="91">CC6+CC7</f>
        <v>164.74972123639805</v>
      </c>
      <c r="CD8" s="16">
        <f t="shared" ref="CD8" si="92">CD6+CD7</f>
        <v>75.552700924647183</v>
      </c>
      <c r="CE8" s="16">
        <f t="shared" ref="CE8" si="93">CE6+CE7</f>
        <v>13.35613179720532</v>
      </c>
      <c r="CF8" s="11">
        <f t="shared" si="2"/>
        <v>4901.3409877385566</v>
      </c>
      <c r="CG8" s="11">
        <f t="shared" si="20"/>
        <v>228.20707773785279</v>
      </c>
      <c r="CH8" s="11">
        <f t="shared" si="21"/>
        <v>130.83709916684015</v>
      </c>
      <c r="CI8" s="11">
        <f t="shared" si="3"/>
        <v>2109.1698583510688</v>
      </c>
      <c r="CJ8" s="11">
        <f t="shared" si="22"/>
        <v>1360.3871288824607</v>
      </c>
      <c r="CK8" s="15">
        <f t="shared" si="23"/>
        <v>0.43032506075938709</v>
      </c>
      <c r="CL8" s="15">
        <f t="shared" si="24"/>
        <v>0.27755406781239544</v>
      </c>
      <c r="CM8" s="11">
        <f t="shared" si="25"/>
        <v>604.84604393804295</v>
      </c>
      <c r="CO8" s="7" t="str">
        <f t="shared" si="26"/>
        <v>2030_3</v>
      </c>
      <c r="CP8" s="30">
        <f>CP7</f>
        <v>2030</v>
      </c>
      <c r="CQ8" s="5" t="s">
        <v>23</v>
      </c>
      <c r="CR8" s="16">
        <f>CR6+CR7</f>
        <v>123.57743885960417</v>
      </c>
      <c r="CS8" s="16">
        <f t="shared" ref="CS8" si="94">CS6+CS7</f>
        <v>166.22288841861507</v>
      </c>
      <c r="CT8" s="16">
        <f t="shared" ref="CT8" si="95">CT6+CT7</f>
        <v>218.44182586272808</v>
      </c>
      <c r="CU8" s="16">
        <f t="shared" ref="CU8" si="96">CU6+CU7</f>
        <v>223.02144574527</v>
      </c>
      <c r="CV8" s="16">
        <f t="shared" ref="CV8" si="97">CV6+CV7</f>
        <v>148.14418527296934</v>
      </c>
      <c r="CW8" s="16">
        <f t="shared" ref="CW8" si="98">CW6+CW7</f>
        <v>145.09919259345702</v>
      </c>
      <c r="CX8" s="16">
        <f t="shared" ref="CX8" si="99">CX6+CX7</f>
        <v>132.43361178253485</v>
      </c>
      <c r="CY8" s="16">
        <f t="shared" ref="CY8" si="100">CY6+CY7</f>
        <v>187.06878188303787</v>
      </c>
      <c r="CZ8" s="16">
        <f t="shared" ref="CZ8" si="101">CZ6+CZ7</f>
        <v>258.3292501963158</v>
      </c>
      <c r="DA8" s="16">
        <f t="shared" ref="DA8" si="102">DA6+DA7</f>
        <v>322.74972534213708</v>
      </c>
      <c r="DB8" s="16">
        <f t="shared" ref="DB8" si="103">DB6+DB7</f>
        <v>311.97315678269592</v>
      </c>
      <c r="DC8" s="16">
        <f t="shared" ref="DC8" si="104">DC6+DC7</f>
        <v>287.38148621137822</v>
      </c>
      <c r="DD8" s="16">
        <f t="shared" ref="DD8" si="105">DD6+DD7</f>
        <v>287.27275660608097</v>
      </c>
      <c r="DE8" s="16">
        <f t="shared" ref="DE8" si="106">DE6+DE7</f>
        <v>315.86351418566937</v>
      </c>
      <c r="DF8" s="16">
        <f t="shared" ref="DF8" si="107">DF6+DF7</f>
        <v>432.91921528293824</v>
      </c>
      <c r="DG8" s="16">
        <f t="shared" ref="DG8" si="108">DG6+DG7</f>
        <v>456.20814748030341</v>
      </c>
      <c r="DH8" s="16">
        <f t="shared" ref="DH8" si="109">DH6+DH7</f>
        <v>400.97874397123121</v>
      </c>
      <c r="DI8" s="16">
        <f t="shared" ref="DI8" si="110">DI6+DI7</f>
        <v>249.54168347267563</v>
      </c>
      <c r="DJ8" s="16">
        <f t="shared" ref="DJ8" si="111">DJ6+DJ7</f>
        <v>164.74972123639805</v>
      </c>
      <c r="DK8" s="16">
        <f t="shared" ref="DK8" si="112">DK6+DK7</f>
        <v>75.552700924647183</v>
      </c>
      <c r="DL8" s="16">
        <f t="shared" ref="DL8" si="113">DL6+DL7</f>
        <v>13.35613179720532</v>
      </c>
      <c r="DM8" s="11">
        <f t="shared" si="69"/>
        <v>4920.8856039078919</v>
      </c>
      <c r="DN8" s="11">
        <f t="shared" si="34"/>
        <v>230.7988285688059</v>
      </c>
      <c r="DO8" s="11">
        <f t="shared" si="35"/>
        <v>131.98101949414524</v>
      </c>
      <c r="DP8" s="11">
        <f t="shared" si="6"/>
        <v>2109.1698583510688</v>
      </c>
      <c r="DQ8" s="11">
        <f t="shared" si="36"/>
        <v>1360.3871288824607</v>
      </c>
      <c r="DR8" s="15">
        <f t="shared" si="37"/>
        <v>0.42861590943631855</v>
      </c>
      <c r="DS8" s="15">
        <f t="shared" si="38"/>
        <v>0.2764516874365292</v>
      </c>
      <c r="DT8" s="11">
        <f t="shared" si="70"/>
        <v>612.74577153199914</v>
      </c>
      <c r="DV8" s="7" t="s">
        <v>402</v>
      </c>
      <c r="DW8" s="209">
        <f>(SUM(BK13:BW13)-SUM(D13:P13))/4</f>
        <v>-159.22661361423172</v>
      </c>
      <c r="DX8" s="30">
        <f>DX7</f>
        <v>2030</v>
      </c>
      <c r="DY8" s="5" t="s">
        <v>23</v>
      </c>
      <c r="DZ8" s="16">
        <f>DZ6+DZ7</f>
        <v>222.54165563893147</v>
      </c>
      <c r="EA8" s="16">
        <f t="shared" ref="EA8:ET8" si="114">EA6+EA7</f>
        <v>163.90330370035988</v>
      </c>
      <c r="EB8" s="16">
        <f t="shared" si="114"/>
        <v>216.44182586272808</v>
      </c>
      <c r="EC8" s="16">
        <f t="shared" si="114"/>
        <v>221.30184410874455</v>
      </c>
      <c r="ED8" s="16">
        <f t="shared" si="114"/>
        <v>148.14418527296934</v>
      </c>
      <c r="EE8" s="16">
        <f t="shared" si="114"/>
        <v>241.09919259345702</v>
      </c>
      <c r="EF8" s="16">
        <f t="shared" si="114"/>
        <v>326.02707403748377</v>
      </c>
      <c r="EG8" s="16">
        <f t="shared" si="114"/>
        <v>392.43627099525634</v>
      </c>
      <c r="EH8" s="16">
        <f t="shared" si="114"/>
        <v>358.28194968963936</v>
      </c>
      <c r="EI8" s="16">
        <f t="shared" si="114"/>
        <v>321.72339199241628</v>
      </c>
      <c r="EJ8" s="16">
        <f t="shared" si="114"/>
        <v>311.97315678269592</v>
      </c>
      <c r="EK8" s="16">
        <f t="shared" si="114"/>
        <v>287.38148621137822</v>
      </c>
      <c r="EL8" s="16">
        <f t="shared" si="114"/>
        <v>287.27275660608097</v>
      </c>
      <c r="EM8" s="16">
        <f t="shared" si="114"/>
        <v>315.86351418566937</v>
      </c>
      <c r="EN8" s="16">
        <f t="shared" si="114"/>
        <v>432.91921528293824</v>
      </c>
      <c r="EO8" s="16">
        <f t="shared" si="114"/>
        <v>456.20814748030341</v>
      </c>
      <c r="EP8" s="16">
        <f t="shared" si="114"/>
        <v>400.97874397123121</v>
      </c>
      <c r="EQ8" s="16">
        <f t="shared" si="114"/>
        <v>249.54168347267563</v>
      </c>
      <c r="ER8" s="16">
        <f t="shared" si="114"/>
        <v>164.74972123639805</v>
      </c>
      <c r="ES8" s="16">
        <f t="shared" si="114"/>
        <v>75.552700924647183</v>
      </c>
      <c r="ET8" s="16">
        <f t="shared" si="114"/>
        <v>13.35613179720532</v>
      </c>
      <c r="EU8" s="11">
        <f t="shared" si="71"/>
        <v>5607.697951843209</v>
      </c>
      <c r="EV8" s="11">
        <f t="shared" si="41"/>
        <v>228.20707773785279</v>
      </c>
      <c r="EW8" s="11">
        <f t="shared" si="42"/>
        <v>130.83709916684015</v>
      </c>
      <c r="EX8" s="11">
        <f t="shared" si="10"/>
        <v>2109.1698583510688</v>
      </c>
      <c r="EY8" s="11">
        <f t="shared" si="43"/>
        <v>1360.3871288824607</v>
      </c>
      <c r="EZ8" s="15">
        <f t="shared" si="44"/>
        <v>0.37612044665454925</v>
      </c>
      <c r="FA8" s="15">
        <f t="shared" si="45"/>
        <v>0.24259279664578073</v>
      </c>
      <c r="FB8" s="11">
        <f t="shared" si="72"/>
        <v>1107.7067228991664</v>
      </c>
    </row>
    <row r="9" spans="1:158" x14ac:dyDescent="0.15">
      <c r="A9" s="7" t="str">
        <f t="shared" si="11"/>
        <v>2015_1</v>
      </c>
      <c r="B9" s="28">
        <v>2015</v>
      </c>
      <c r="C9" s="3" t="s">
        <v>21</v>
      </c>
      <c r="D9" s="9">
        <v>94.832796494111193</v>
      </c>
      <c r="E9" s="9">
        <v>118.62358531909067</v>
      </c>
      <c r="F9" s="9">
        <v>148.44735414954806</v>
      </c>
      <c r="G9" s="9">
        <v>115.86700356066831</v>
      </c>
      <c r="H9" s="9">
        <v>96.590955902492468</v>
      </c>
      <c r="I9" s="9">
        <v>113.11253355245138</v>
      </c>
      <c r="J9" s="9">
        <v>138.85639003012875</v>
      </c>
      <c r="K9" s="9">
        <v>131.56050944946591</v>
      </c>
      <c r="L9" s="9">
        <v>142.78217474664476</v>
      </c>
      <c r="M9" s="9">
        <v>138.91954533004656</v>
      </c>
      <c r="N9" s="9">
        <v>171.56954533004657</v>
      </c>
      <c r="O9" s="9">
        <v>224.57419063270336</v>
      </c>
      <c r="P9" s="9">
        <v>257.86795946316079</v>
      </c>
      <c r="Q9" s="9">
        <v>251.6973459326212</v>
      </c>
      <c r="R9" s="9">
        <v>137.96770473842781</v>
      </c>
      <c r="S9" s="9">
        <v>132.88630238290881</v>
      </c>
      <c r="T9" s="9">
        <v>125.39419884963024</v>
      </c>
      <c r="U9" s="9">
        <v>83.577888249794569</v>
      </c>
      <c r="V9" s="9">
        <v>18.031402355519035</v>
      </c>
      <c r="W9" s="9">
        <v>7.430525883319639</v>
      </c>
      <c r="X9" s="9">
        <v>1.1600876472199397</v>
      </c>
      <c r="Y9" s="9">
        <f t="shared" si="68"/>
        <v>2651.7500000000005</v>
      </c>
      <c r="Z9" s="9">
        <f t="shared" si="12"/>
        <v>160.24256368118324</v>
      </c>
      <c r="AA9" s="9">
        <f t="shared" si="13"/>
        <v>82.552342371952889</v>
      </c>
      <c r="AB9" s="9">
        <f t="shared" si="0"/>
        <v>758.14545603944134</v>
      </c>
      <c r="AC9" s="9">
        <f t="shared" si="14"/>
        <v>368.48040536839227</v>
      </c>
      <c r="AD9" s="13">
        <f t="shared" si="15"/>
        <v>0.28590382051077257</v>
      </c>
      <c r="AE9" s="13">
        <f t="shared" si="16"/>
        <v>0.13895744522235964</v>
      </c>
      <c r="AF9" s="9">
        <f t="shared" si="17"/>
        <v>480.12038893453848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57.579938202531451</v>
      </c>
      <c r="BL9" s="9">
        <f>IF(管理者入力シート!$B$14=1,BK6*管理者用人口入力シート!AM$3,IF(管理者入力シート!$B$14=2,BK6*管理者用人口入力シート!AM$7))</f>
        <v>73.098289955952225</v>
      </c>
      <c r="BM9" s="9">
        <f>IF(管理者入力シート!$B$14=1,BL6*管理者用人口入力シート!AN$3,IF(管理者入力シート!$B$14=2,BL6*管理者用人口入力シート!AN$7))</f>
        <v>88.501954707255081</v>
      </c>
      <c r="BN9" s="9">
        <f>IF(管理者入力シート!$B$14=1,BM6*管理者用人口入力シート!AO$3,IF(管理者入力シート!$B$14=2,BM6*管理者用人口入力シート!AO$7))</f>
        <v>93.207715188307901</v>
      </c>
      <c r="BO9" s="9">
        <f>IF(管理者入力シート!$B$14=1,BN6*管理者用人口入力シート!AP$3,IF(管理者入力シート!$B$14=2,BN6*管理者用人口入力シート!AP$7))</f>
        <v>73.117018870234801</v>
      </c>
      <c r="BP9" s="9">
        <f>IF(管理者入力シート!$B$14=1,BO6*管理者用人口入力シート!AQ$3,IF(管理者入力シート!$B$14=2,BO6*管理者用人口入力シート!AQ$7))</f>
        <v>60.070182569255117</v>
      </c>
      <c r="BQ9" s="9">
        <f>IF(管理者入力シート!$B$14=1,BP6*管理者用人口入力シート!AR$3,IF(管理者入力シート!$B$14=2,BP6*管理者用人口入力シート!AR$7))</f>
        <v>78.249058254111006</v>
      </c>
      <c r="BR9" s="9">
        <f>IF(管理者入力シート!$B$14=1,BQ6*管理者用人口入力シート!AS$3,IF(管理者入力シート!$B$14=2,BQ6*管理者用人口入力シート!AS$7))</f>
        <v>75.376751842058866</v>
      </c>
      <c r="BS9" s="9">
        <f>IF(管理者入力シート!$B$14=1,BR6*管理者用人口入力シート!AT$3,IF(管理者入力シート!$B$14=2,BR6*管理者用人口入力シート!AT$7))</f>
        <v>99.337135074104324</v>
      </c>
      <c r="BT9" s="9">
        <f>IF(管理者入力シート!$B$14=1,BS6*管理者用人口入力シート!AU$3,IF(管理者入力シート!$B$14=2,BS6*管理者用人口入力シート!AU$7))</f>
        <v>133.04883953291613</v>
      </c>
      <c r="BU9" s="9">
        <f>IF(管理者入力シート!$B$14=1,BT6*管理者用人口入力シート!AV$3,IF(管理者入力シート!$B$14=2,BT6*管理者用人口入力シート!AV$7))</f>
        <v>163.39600961862146</v>
      </c>
      <c r="BV9" s="9">
        <f>IF(管理者入力シート!$B$14=1,BU6*管理者用人口入力シート!AW$3,IF(管理者入力シート!$B$14=2,BU6*管理者用人口入力シート!AW$7))</f>
        <v>141.06063420648718</v>
      </c>
      <c r="BW9" s="9">
        <f>IF(管理者入力シート!$B$14=1,BV6*管理者用人口入力シート!AX$3,IF(管理者入力シート!$B$14=2,BV6*管理者用人口入力シート!AX$7))</f>
        <v>144.43983226483732</v>
      </c>
      <c r="BX9" s="9">
        <f>IF(管理者入力シート!$B$14=1,BW6*管理者用人口入力シート!AY$3,IF(管理者入力シート!$B$14=2,BW6*管理者用人口入力シート!AY$7))</f>
        <v>128.98188804817411</v>
      </c>
      <c r="BY9" s="9">
        <f>IF(管理者入力シート!$B$14=1,BX6*管理者用人口入力シート!AZ$3,IF(管理者入力シート!$B$14=2,BX6*管理者用人口入力シート!AZ$7))</f>
        <v>140.36804541637497</v>
      </c>
      <c r="BZ9" s="9">
        <f>IF(管理者入力シート!$B$14=1,BY6*管理者用人口入力シート!BA$3,IF(管理者入力シート!$B$14=2,BY6*管理者用人口入力シート!BA$7))</f>
        <v>173.18004318982298</v>
      </c>
      <c r="CA9" s="9">
        <f>IF(管理者入力シート!$B$14=1,BZ6*管理者用人口入力シート!BB$3,IF(管理者入力シート!$B$14=2,BZ6*管理者用人口入力シート!BB$7))</f>
        <v>167.57953872019124</v>
      </c>
      <c r="CB9" s="9">
        <f>IF(管理者入力シート!$B$14=1,CA6*管理者用人口入力シート!BC$3,IF(管理者入力シート!$B$14=2,CA6*管理者用人口入力シート!BC$7))</f>
        <v>125.77833759673555</v>
      </c>
      <c r="CC9" s="9">
        <f>IF(管理者入力シート!$B$14=1,CB6*管理者用人口入力シート!BD$3,IF(管理者入力シート!$B$14=2,CB6*管理者用人口入力シート!BD$7))</f>
        <v>36.063543714891743</v>
      </c>
      <c r="CD9" s="9">
        <f>IF(管理者入力シート!$B$14=1,CC6*管理者用人口入力シート!BE$3,IF(管理者入力シート!$B$14=2,CC6*管理者用人口入力シート!BE$7))</f>
        <v>10.359509517217209</v>
      </c>
      <c r="CE9" s="9">
        <f>IF(管理者入力シート!$B$14=1,CD6*管理者用人口入力シート!BF$3,IF(管理者入力シート!$B$14=2,CD6*管理者用人口入力シート!BF$7))</f>
        <v>2.3237542909193127</v>
      </c>
      <c r="CF9" s="9">
        <f t="shared" si="2"/>
        <v>2065.1180207810003</v>
      </c>
      <c r="CG9" s="9">
        <f t="shared" si="20"/>
        <v>96.960146797924381</v>
      </c>
      <c r="CH9" s="9">
        <f t="shared" si="21"/>
        <v>54.042324920563615</v>
      </c>
      <c r="CI9" s="9">
        <f t="shared" si="3"/>
        <v>784.63466049432702</v>
      </c>
      <c r="CJ9" s="9">
        <f t="shared" si="22"/>
        <v>515.28472702977797</v>
      </c>
      <c r="CK9" s="13">
        <f t="shared" si="23"/>
        <v>0.37994664353255153</v>
      </c>
      <c r="CL9" s="13">
        <f t="shared" si="24"/>
        <v>0.24951829476307805</v>
      </c>
      <c r="CM9" s="9">
        <f t="shared" si="25"/>
        <v>286.81301153565977</v>
      </c>
      <c r="CO9" s="7" t="str">
        <f t="shared" si="26"/>
        <v>2035_1</v>
      </c>
      <c r="CP9" s="28">
        <f>管理者入力シート!B10</f>
        <v>2035</v>
      </c>
      <c r="CQ9" s="3" t="s">
        <v>21</v>
      </c>
      <c r="CR9" s="9">
        <f>DT10*$AK$13+将来予測シート②!$G17</f>
        <v>59.949068021143319</v>
      </c>
      <c r="CS9" s="9">
        <f>IF(管理者入力シート!$B$14=1,CR6*管理者用人口入力シート!AM$3,IF(管理者入力シート!$B$14=2,CR6*管理者用人口入力シート!AM$7))+将来予測シート②!$G18</f>
        <v>75.239291621018978</v>
      </c>
      <c r="CT9" s="9">
        <f>IF(管理者入力シート!$B$14=1,CS6*管理者用人口入力シート!AN$3,IF(管理者入力シート!$B$14=2,CS6*管理者用人口入力シート!AN$7))+将来予測シート②!$G19</f>
        <v>90.714595858715541</v>
      </c>
      <c r="CU9" s="9">
        <f>IF(管理者入力シート!$B$14=1,CT6*管理者用人口入力シート!AO$3,IF(管理者入力シート!$B$14=2,CT6*管理者用人口入力シート!AO$7))+将来予測シート②!$G20</f>
        <v>94.046386915574033</v>
      </c>
      <c r="CV9" s="9">
        <f>IF(管理者入力シート!$B$14=1,CU6*管理者用人口入力シート!AP$3,IF(管理者入力シート!$B$14=2,CU6*管理者用人口入力シート!AP$7))+将来予測シート②!$G21</f>
        <v>73.674444136160105</v>
      </c>
      <c r="CW9" s="9">
        <f>IF(管理者入力シート!$B$14=1,CV6*管理者用人口入力シート!AQ$3,IF(管理者入力シート!$B$14=2,CV6*管理者用人口入力シート!AQ$7))+将来予測シート②!$G22</f>
        <v>62.070182569255117</v>
      </c>
      <c r="CX9" s="9">
        <f>IF(管理者入力シート!$B$14=1,CW6*管理者用人口入力シート!AR$3,IF(管理者入力シート!$B$14=2,CW6*管理者用人口入力シート!AR$7))+将来予測シート②!$G23</f>
        <v>80.302872980531376</v>
      </c>
      <c r="CY9" s="9">
        <f>IF(管理者入力シート!$B$14=1,CX6*管理者用人口入力シート!AS$3,IF(管理者入力シート!$B$14=2,CX6*管理者用人口入力シート!AS$7))+将来予測シート②!$G24</f>
        <v>77.5049952666417</v>
      </c>
      <c r="CZ9" s="9">
        <f>IF(管理者入力シート!$B$14=1,CY6*管理者用人口入力シート!AT$3,IF(管理者入力シート!$B$14=2,CY6*管理者用人口入力シート!AT$7))+将来予測シート②!$G25</f>
        <v>99.337135074104324</v>
      </c>
      <c r="DA9" s="9">
        <f>IF(管理者入力シート!$B$14=1,CZ6*管理者用人口入力シート!AU$3,IF(管理者入力シート!$B$14=2,CZ6*管理者用人口入力シート!AU$7))+将来予測シート②!$G26</f>
        <v>133.04883953291613</v>
      </c>
      <c r="DB9" s="9">
        <f>IF(管理者入力シート!$B$14=1,DA6*管理者用人口入力シート!AV$3,IF(管理者入力シート!$B$14=2,DA6*管理者用人口入力シート!AV$7))+将来予測シート②!$G27</f>
        <v>163.39600961862146</v>
      </c>
      <c r="DC9" s="9">
        <f>IF(管理者入力シート!$B$14=1,DB6*管理者用人口入力シート!AW$3,IF(管理者入力シート!$B$14=2,DB6*管理者用人口入力シート!AW$7))+将来予測シート②!$G28</f>
        <v>141.06063420648718</v>
      </c>
      <c r="DD9" s="9">
        <f>IF(管理者入力シート!$B$14=1,DC6*管理者用人口入力シート!AX$3,IF(管理者入力シート!$B$14=2,DC6*管理者用人口入力シート!AX$7))+将来予測シート②!$G29</f>
        <v>144.43983226483732</v>
      </c>
      <c r="DE9" s="9">
        <f>IF(管理者入力シート!$B$14=1,DD6*管理者用人口入力シート!AY$3,IF(管理者入力シート!$B$14=2,DD6*管理者用人口入力シート!AY$7))</f>
        <v>128.98188804817411</v>
      </c>
      <c r="DF9" s="9">
        <f>IF(管理者入力シート!$B$14=1,DE6*管理者用人口入力シート!AZ$3,IF(管理者入力シート!$B$14=2,DE6*管理者用人口入力シート!AZ$7))</f>
        <v>140.36804541637497</v>
      </c>
      <c r="DG9" s="9">
        <f>IF(管理者入力シート!$B$14=1,DF6*管理者用人口入力シート!BA$3,IF(管理者入力シート!$B$14=2,DF6*管理者用人口入力シート!BA$7))</f>
        <v>173.18004318982298</v>
      </c>
      <c r="DH9" s="9">
        <f>IF(管理者入力シート!$B$14=1,DG6*管理者用人口入力シート!BB$3,IF(管理者入力シート!$B$14=2,DG6*管理者用人口入力シート!BB$7))</f>
        <v>167.57953872019124</v>
      </c>
      <c r="DI9" s="9">
        <f>IF(管理者入力シート!$B$14=1,DH6*管理者用人口入力シート!BC$3,IF(管理者入力シート!$B$14=2,DH6*管理者用人口入力シート!BC$7))</f>
        <v>125.77833759673555</v>
      </c>
      <c r="DJ9" s="9">
        <f>IF(管理者入力シート!$B$14=1,DI6*管理者用人口入力シート!BD$3,IF(管理者入力シート!$B$14=2,DI6*管理者用人口入力シート!BD$7))</f>
        <v>36.063543714891743</v>
      </c>
      <c r="DK9" s="9">
        <f>IF(管理者入力シート!$B$14=1,DJ6*管理者用人口入力シート!BE$3,IF(管理者入力シート!$B$14=2,DJ6*管理者用人口入力シート!BE$7))</f>
        <v>10.359509517217209</v>
      </c>
      <c r="DL9" s="9">
        <f>IF(管理者入力シート!$B$14=1,DK6*管理者用人口入力シート!BF$3,IF(管理者入力シート!$B$14=2,DK6*管理者用人口入力シート!BF$7))</f>
        <v>2.3237542909193127</v>
      </c>
      <c r="DM9" s="9">
        <f t="shared" si="69"/>
        <v>2079.4189485603338</v>
      </c>
      <c r="DN9" s="9">
        <f t="shared" si="34"/>
        <v>99.572332487840697</v>
      </c>
      <c r="DO9" s="9">
        <f t="shared" si="35"/>
        <v>55.095115726601023</v>
      </c>
      <c r="DP9" s="9">
        <f t="shared" si="6"/>
        <v>784.63466049432702</v>
      </c>
      <c r="DQ9" s="9">
        <f t="shared" si="36"/>
        <v>515.28472702977797</v>
      </c>
      <c r="DR9" s="13">
        <f t="shared" si="37"/>
        <v>0.37733361092893836</v>
      </c>
      <c r="DS9" s="13">
        <f t="shared" si="38"/>
        <v>0.2478022658139816</v>
      </c>
      <c r="DT9" s="9">
        <f t="shared" si="70"/>
        <v>293.55249495258829</v>
      </c>
      <c r="DV9" s="7" t="s">
        <v>403</v>
      </c>
      <c r="DW9" s="209">
        <f>DW7+DW8</f>
        <v>-301.3929955677653</v>
      </c>
      <c r="DX9" s="28">
        <f>管理者入力シート!B10</f>
        <v>2035</v>
      </c>
      <c r="DY9" s="3" t="s">
        <v>21</v>
      </c>
      <c r="DZ9" s="9">
        <f>FB10*$AK$13</f>
        <v>121.05461364663483</v>
      </c>
      <c r="EA9" s="129">
        <f>IF(管理者入力シート!$B$14=1,DZ6*管理者用人口入力シート!AM$3,IF(管理者入力シート!$B$14=2,DZ6*管理者用人口入力シート!AM$7))</f>
        <v>135.56396759298391</v>
      </c>
      <c r="EB9" s="9">
        <f>IF(管理者入力シート!$B$14=1,EA6*管理者用人口入力シート!AN$3,IF(管理者入力シート!$B$14=2,EA6*管理者用人口入力シート!AN$7))</f>
        <v>88.501954707255081</v>
      </c>
      <c r="EC9" s="9">
        <f>IF(管理者入力シート!$B$14=1,EB6*管理者用人口入力シート!AO$3,IF(管理者入力シート!$B$14=2,EB6*管理者用人口入力シート!AO$7))</f>
        <v>93.207715188307901</v>
      </c>
      <c r="ED9" s="9">
        <f>IF(管理者入力シート!$B$14=1,EC6*管理者用人口入力シート!AP$3,IF(管理者入力シート!$B$14=2,EC6*管理者用人口入力シート!AP$7))</f>
        <v>73.117018870234801</v>
      </c>
      <c r="EE9" s="9">
        <f>IF(管理者入力シート!$B$14=1,ED6*管理者用人口入力シート!AQ$3,IF(管理者入力シート!$B$14=2,ED6*管理者用人口入力シート!AQ$7))+DX1</f>
        <v>110.07018256925511</v>
      </c>
      <c r="EF9" s="9">
        <f>IF(管理者入力シート!$B$14=1,EE6*管理者用人口入力シート!AR$3,IF(管理者入力シート!$B$14=2,EE6*管理者用人口入力シート!AR$7))+DX1</f>
        <v>179.59442641462027</v>
      </c>
      <c r="EG9" s="9">
        <f>IF(管理者入力シート!$B$14=1,EF6*管理者用人口入力シート!AS$3,IF(管理者入力シート!$B$14=2,EF6*管理者用人口入力シート!AS$7))+DX1</f>
        <v>230.39479978227186</v>
      </c>
      <c r="EH9" s="9">
        <f>IF(管理者入力シート!$B$14=1,EG6*管理者用人口入力シート!AT$3,IF(管理者入力シート!$B$14=2,EG6*管理者用人口入力シート!AT$7))</f>
        <v>201.90056651393223</v>
      </c>
      <c r="EI9" s="9">
        <f>IF(管理者入力シート!$B$14=1,EH6*管理者用人口入力シート!AU$3,IF(管理者入力シート!$B$14=2,EH6*管理者用人口入力シート!AU$7))</f>
        <v>184.75979606546707</v>
      </c>
      <c r="EJ9" s="9">
        <f>IF(管理者入力シート!$B$14=1,EI6*管理者用人口入力シート!AV$3,IF(管理者入力シート!$B$14=2,EI6*管理者用人口入力シート!AV$7))</f>
        <v>163.39600961862146</v>
      </c>
      <c r="EK9" s="9">
        <f>IF(管理者入力シート!$B$14=1,EJ6*管理者用人口入力シート!AW$3,IF(管理者入力シート!$B$14=2,EJ6*管理者用人口入力シート!AW$7))</f>
        <v>141.06063420648718</v>
      </c>
      <c r="EL9" s="9">
        <f>IF(管理者入力シート!$B$14=1,EK6*管理者用人口入力シート!AX$3,IF(管理者入力シート!$B$14=2,EK6*管理者用人口入力シート!AX$7))</f>
        <v>144.43983226483732</v>
      </c>
      <c r="EM9" s="9">
        <f>IF(管理者入力シート!$B$14=1,EL6*管理者用人口入力シート!AY$3,IF(管理者入力シート!$B$14=2,EL6*管理者用人口入力シート!AY$7))</f>
        <v>128.98188804817411</v>
      </c>
      <c r="EN9" s="9">
        <f>IF(管理者入力シート!$B$14=1,EM6*管理者用人口入力シート!AZ$3,IF(管理者入力シート!$B$14=2,EM6*管理者用人口入力シート!AZ$7))</f>
        <v>140.36804541637497</v>
      </c>
      <c r="EO9" s="9">
        <f>IF(管理者入力シート!$B$14=1,EN6*管理者用人口入力シート!BA$3,IF(管理者入力シート!$B$14=2,EN6*管理者用人口入力シート!BA$7))</f>
        <v>173.18004318982298</v>
      </c>
      <c r="EP9" s="9">
        <f>IF(管理者入力シート!$B$14=1,EO6*管理者用人口入力シート!BB$3,IF(管理者入力シート!$B$14=2,EO6*管理者用人口入力シート!BB$7))</f>
        <v>167.57953872019124</v>
      </c>
      <c r="EQ9" s="9">
        <f>IF(管理者入力シート!$B$14=1,EP6*管理者用人口入力シート!BC$3,IF(管理者入力シート!$B$14=2,EP6*管理者用人口入力シート!BC$7))</f>
        <v>125.77833759673555</v>
      </c>
      <c r="ER9" s="9">
        <f>IF(管理者入力シート!$B$14=1,EQ6*管理者用人口入力シート!BD$3,IF(管理者入力シート!$B$14=2,EQ6*管理者用人口入力シート!BD$7))</f>
        <v>36.063543714891743</v>
      </c>
      <c r="ES9" s="9">
        <f>IF(管理者入力シート!$B$14=1,ER6*管理者用人口入力シート!BE$3,IF(管理者入力シート!$B$14=2,ER6*管理者用人口入力シート!BE$7))</f>
        <v>10.359509517217209</v>
      </c>
      <c r="ET9" s="9">
        <f>IF(管理者入力シート!$B$14=1,ES6*管理者用人口入力シート!BF$3,IF(管理者入力シート!$B$14=2,ES6*管理者用人口入力シート!BF$7))</f>
        <v>2.3237542909193127</v>
      </c>
      <c r="EU9" s="9">
        <f t="shared" si="71"/>
        <v>2651.6961779352364</v>
      </c>
      <c r="EV9" s="9">
        <f t="shared" si="41"/>
        <v>134.43955338014339</v>
      </c>
      <c r="EW9" s="9">
        <f t="shared" si="42"/>
        <v>54.042324920563615</v>
      </c>
      <c r="EX9" s="9">
        <f t="shared" si="10"/>
        <v>784.63466049432702</v>
      </c>
      <c r="EY9" s="9">
        <f t="shared" si="43"/>
        <v>515.28472702977797</v>
      </c>
      <c r="EZ9" s="13">
        <f t="shared" si="44"/>
        <v>0.29589915580196252</v>
      </c>
      <c r="FA9" s="13">
        <f t="shared" si="45"/>
        <v>0.19432268723598961</v>
      </c>
      <c r="FB9" s="9">
        <f t="shared" si="72"/>
        <v>593.17642763638207</v>
      </c>
    </row>
    <row r="10" spans="1:158" x14ac:dyDescent="0.15">
      <c r="A10" s="7" t="str">
        <f t="shared" si="11"/>
        <v>2015_2</v>
      </c>
      <c r="B10" s="29">
        <v>2015</v>
      </c>
      <c r="C10" s="4" t="s">
        <v>22</v>
      </c>
      <c r="D10" s="10">
        <v>98.570860240395945</v>
      </c>
      <c r="E10" s="10">
        <v>122.35425406551968</v>
      </c>
      <c r="F10" s="10">
        <v>112.72365071883101</v>
      </c>
      <c r="G10" s="10">
        <v>109.00644119726608</v>
      </c>
      <c r="H10" s="10">
        <v>109.80920103700211</v>
      </c>
      <c r="I10" s="10">
        <v>122.89342446382277</v>
      </c>
      <c r="J10" s="10">
        <v>143.87455573886402</v>
      </c>
      <c r="K10" s="10">
        <v>158.66847749234034</v>
      </c>
      <c r="L10" s="10">
        <v>145.49066462408672</v>
      </c>
      <c r="M10" s="10">
        <v>156.18908083902897</v>
      </c>
      <c r="N10" s="10">
        <v>178.02953334904549</v>
      </c>
      <c r="O10" s="10">
        <v>242.4239076125383</v>
      </c>
      <c r="P10" s="10">
        <v>276.58617016262076</v>
      </c>
      <c r="Q10" s="10">
        <v>254.84737685599811</v>
      </c>
      <c r="R10" s="10">
        <v>187.86945793070942</v>
      </c>
      <c r="S10" s="10">
        <v>182.53802498232383</v>
      </c>
      <c r="T10" s="10">
        <v>195.36530992222484</v>
      </c>
      <c r="U10" s="10">
        <v>185.44282111713409</v>
      </c>
      <c r="V10" s="10">
        <v>118.56467593683715</v>
      </c>
      <c r="W10" s="10">
        <v>44.101960876738154</v>
      </c>
      <c r="X10" s="10">
        <v>5.3201508366721662</v>
      </c>
      <c r="Y10" s="10">
        <f t="shared" si="68"/>
        <v>3150.6699999999996</v>
      </c>
      <c r="Z10" s="10">
        <f t="shared" si="12"/>
        <v>141.04674287061042</v>
      </c>
      <c r="AA10" s="10">
        <f t="shared" si="13"/>
        <v>66.890748526985618</v>
      </c>
      <c r="AB10" s="10">
        <f t="shared" si="0"/>
        <v>1174.0497784586375</v>
      </c>
      <c r="AC10" s="10">
        <f t="shared" si="14"/>
        <v>731.33294367193025</v>
      </c>
      <c r="AD10" s="14">
        <f t="shared" si="15"/>
        <v>0.37263495651992679</v>
      </c>
      <c r="AE10" s="14">
        <f t="shared" si="16"/>
        <v>0.23211981695065823</v>
      </c>
      <c r="AF10" s="10">
        <f t="shared" si="17"/>
        <v>535.24565873202926</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53.854345605877008</v>
      </c>
      <c r="BL10" s="10">
        <f>IF(管理者入力シート!$B$14=1,BK7*管理者用人口入力シート!AM$4,IF(管理者入力シート!$B$14=2,BK7*管理者用人口入力シート!AM$8))</f>
        <v>66.151252221200096</v>
      </c>
      <c r="BM10" s="10">
        <f>IF(管理者入力シート!$B$14=1,BL7*管理者用人口入力シート!AN$4,IF(管理者入力シート!$B$14=2,BL7*管理者用人口入力シート!AN$8))</f>
        <v>83.857135187821243</v>
      </c>
      <c r="BN10" s="10">
        <f>IF(管理者入力シート!$B$14=1,BM7*管理者用人口入力シート!AO$4,IF(管理者入力シート!$B$14=2,BM7*管理者用人口入力シート!AO$8))</f>
        <v>92.765902386070678</v>
      </c>
      <c r="BO10" s="10">
        <f>IF(管理者入力シート!$B$14=1,BN7*管理者用人口入力シート!AP$4,IF(管理者入力シート!$B$14=2,BN7*管理者用人口入力シート!AP$8))</f>
        <v>79.480436502109512</v>
      </c>
      <c r="BP10" s="10">
        <f>IF(管理者入力シート!$B$14=1,BO7*管理者用人口入力シート!AQ$4,IF(管理者入力シート!$B$14=2,BO7*管理者用人口入力シート!AQ$8))</f>
        <v>72.211639915433224</v>
      </c>
      <c r="BQ10" s="10">
        <f>IF(管理者入力シート!$B$14=1,BP7*管理者用人口入力シート!AR$4,IF(管理者入力シート!$B$14=2,BP7*管理者用人口入力シート!AR$8))</f>
        <v>59.90028031648356</v>
      </c>
      <c r="BR10" s="10">
        <f>IF(管理者入力シート!$B$14=1,BQ7*管理者用人口入力シート!AS$4,IF(管理者入力シート!$B$14=2,BQ7*管理者用人口入力シート!AS$8))</f>
        <v>59.76068427224201</v>
      </c>
      <c r="BS10" s="10">
        <f>IF(管理者入力シート!$B$14=1,BR7*管理者用人口入力シート!AT$4,IF(管理者入力シート!$B$14=2,BR7*管理者用人口入力シート!AT$8))</f>
        <v>89.49206817157966</v>
      </c>
      <c r="BT10" s="10">
        <f>IF(管理者入力シート!$B$14=1,BS7*管理者用人口入力シート!AU$4,IF(管理者入力シート!$B$14=2,BS7*管理者用人口入力シート!AU$8))</f>
        <v>131.09669204650797</v>
      </c>
      <c r="BU10" s="10">
        <f>IF(管理者入力シート!$B$14=1,BT7*管理者用人口入力シート!AV$4,IF(管理者入力シート!$B$14=2,BT7*管理者用人口入力シート!AV$8))</f>
        <v>153.71242071484028</v>
      </c>
      <c r="BV10" s="10">
        <f>IF(管理者入力シート!$B$14=1,BU7*管理者用人口入力シート!AW$4,IF(管理者入力シート!$B$14=2,BU7*管理者用人口入力シート!AW$8))</f>
        <v>165.20988315650459</v>
      </c>
      <c r="BW10" s="10">
        <f>IF(管理者入力シート!$B$14=1,BV7*管理者用人口入力シート!AX$4,IF(管理者入力シート!$B$14=2,BV7*管理者用人口入力シート!AX$8))</f>
        <v>141.07843171167755</v>
      </c>
      <c r="BX10" s="10">
        <f>IF(管理者入力シート!$B$14=1,BW7*管理者用人口入力シート!AY$4,IF(管理者入力シート!$B$14=2,BW7*管理者用人口入力シート!AY$8))</f>
        <v>147.76220505107449</v>
      </c>
      <c r="BY10" s="10">
        <f>IF(管理者入力シート!$B$14=1,BX7*管理者用人口入力シート!AZ$4,IF(管理者入力シート!$B$14=2,BX7*管理者用人口入力シート!AZ$8))</f>
        <v>161.72989142511508</v>
      </c>
      <c r="BZ10" s="10">
        <f>IF(管理者入力シート!$B$14=1,BY7*管理者用人口入力シート!BA$4,IF(管理者入力シート!$B$14=2,BY7*管理者用人口入力シート!BA$8))</f>
        <v>224.06039769768029</v>
      </c>
      <c r="CA10" s="10">
        <f>IF(管理者入力シート!$B$14=1,BZ7*管理者用人口入力シート!BB$4,IF(管理者入力シート!$B$14=2,BZ7*管理者用人口入力シート!BB$8))</f>
        <v>254.1859715548336</v>
      </c>
      <c r="CB10" s="10">
        <f>IF(管理者入力シート!$B$14=1,CA7*管理者用人口入力シート!BC$4,IF(管理者入力シート!$B$14=2,CA7*管理者用人口入力シート!BC$8))</f>
        <v>229.46891542319543</v>
      </c>
      <c r="CC10" s="10">
        <f>IF(管理者入力シート!$B$14=1,CB7*管理者用人口入力シート!BD$4,IF(管理者入力シート!$B$14=2,CB7*管理者用人口入力シート!BD$8))</f>
        <v>120.93207340618356</v>
      </c>
      <c r="CD10" s="10">
        <f>IF(管理者入力シート!$B$14=1,CC7*管理者用人口入力シート!BE$4,IF(管理者入力シート!$B$14=2,CC7*管理者用人口入力シート!BE$8))</f>
        <v>60.22481837097547</v>
      </c>
      <c r="CE10" s="10">
        <f>IF(管理者入力シート!$B$14=1,CD7*管理者用人口入力シート!BF$4,IF(管理者入力シート!$B$14=2,CD7*管理者用人口入力シート!BF$8))</f>
        <v>13.197996579838239</v>
      </c>
      <c r="CF10" s="10">
        <f t="shared" si="2"/>
        <v>2460.1334417172434</v>
      </c>
      <c r="CG10" s="10">
        <f t="shared" si="20"/>
        <v>90.005032445412809</v>
      </c>
      <c r="CH10" s="10">
        <f t="shared" si="21"/>
        <v>52.09603455234263</v>
      </c>
      <c r="CI10" s="10">
        <f t="shared" si="3"/>
        <v>1211.5622695088962</v>
      </c>
      <c r="CJ10" s="10">
        <f t="shared" si="22"/>
        <v>902.07017303270663</v>
      </c>
      <c r="CK10" s="14">
        <f t="shared" si="23"/>
        <v>0.49247827331804861</v>
      </c>
      <c r="CL10" s="14">
        <f t="shared" si="24"/>
        <v>0.36667530213443866</v>
      </c>
      <c r="CM10" s="10">
        <f t="shared" si="25"/>
        <v>271.35304100626831</v>
      </c>
      <c r="CO10" s="7" t="str">
        <f t="shared" si="26"/>
        <v>2035_2</v>
      </c>
      <c r="CP10" s="29">
        <f>CP9</f>
        <v>2035</v>
      </c>
      <c r="CQ10" s="4" t="s">
        <v>22</v>
      </c>
      <c r="CR10" s="10">
        <f>DT10*$AK$14+将来予測シート②!$H17</f>
        <v>56.134888668835586</v>
      </c>
      <c r="CS10" s="10">
        <f>IF(管理者入力シート!$B$14=1,CR7*管理者用人口入力シート!AM$4,IF(管理者入力シート!$B$14=2,CR7*管理者用人口入力シート!AM$8))+将来予測シート②!$H18</f>
        <v>68.1625846862689</v>
      </c>
      <c r="CT10" s="10">
        <f>IF(管理者入力シート!$B$14=1,CS7*管理者用人口入力シート!AN$4,IF(管理者入力シート!$B$14=2,CS7*管理者用人口入力シート!AN$8))+将来予測シート②!$H19</f>
        <v>86.085620312441364</v>
      </c>
      <c r="CU10" s="10">
        <f>IF(管理者入力シート!$B$14=1,CT7*管理者用人口入力シート!AO$4,IF(管理者入力シート!$B$14=2,CT7*管理者用人口入力シート!AO$8))+将来予測シート②!$H20</f>
        <v>93.64683229533</v>
      </c>
      <c r="CV10" s="10">
        <f>IF(管理者入力シート!$B$14=1,CU7*管理者用人口入力シート!AP$4,IF(管理者入力シート!$B$14=2,CU7*管理者用人口入力シート!AP$8))+将来予測シート②!$H21</f>
        <v>80.109551473728061</v>
      </c>
      <c r="CW10" s="10">
        <f>IF(管理者入力シート!$B$14=1,CV7*管理者用人口入力シート!AQ$4,IF(管理者入力シート!$B$14=2,CV7*管理者用人口入力シート!AQ$8))+将来予測シート②!$H22</f>
        <v>74.211639915433224</v>
      </c>
      <c r="CX10" s="10">
        <f>IF(管理者入力シート!$B$14=1,CW7*管理者用人口入力シート!AR$4,IF(管理者入力シート!$B$14=2,CW7*管理者用人口入力シート!AR$8))+将来予測シート②!$H23</f>
        <v>61.74619318401939</v>
      </c>
      <c r="CY10" s="10">
        <f>IF(管理者入力シート!$B$14=1,CX7*管理者用人口入力シート!AS$4,IF(管理者入力シート!$B$14=2,CX7*管理者用人口入力シート!AS$8))+将来予測シート②!$H24</f>
        <v>61.737860992702025</v>
      </c>
      <c r="CZ10" s="10">
        <f>IF(管理者入力シート!$B$14=1,CY7*管理者用人口入力シート!AT$4,IF(管理者入力シート!$B$14=2,CY7*管理者用人口入力シート!AT$8))+将来予測シート②!$H25</f>
        <v>90.49206817157966</v>
      </c>
      <c r="DA10" s="10">
        <f>IF(管理者入力シート!$B$14=1,CZ7*管理者用人口入力シート!AU$4,IF(管理者入力シート!$B$14=2,CZ7*管理者用人口入力シート!AU$8))+将来予測シート②!$H26</f>
        <v>132.12302539622877</v>
      </c>
      <c r="DB10" s="10">
        <f>IF(管理者入力シート!$B$14=1,DA7*管理者用人口入力シート!AV$4,IF(管理者入力シート!$B$14=2,DA7*管理者用人口入力シート!AV$8))+将来予測シート②!$H27</f>
        <v>154.69252160779433</v>
      </c>
      <c r="DC10" s="10">
        <f>IF(管理者入力シート!$B$14=1,DB7*管理者用人口入力シート!AW$4,IF(管理者入力シート!$B$14=2,DB7*管理者用人口入力シート!AW$8))+将来予測シート②!$H28</f>
        <v>165.20988315650459</v>
      </c>
      <c r="DD10" s="10">
        <f>IF(管理者入力シート!$B$14=1,DC7*管理者用人口入力シート!AX$4,IF(管理者入力シート!$B$14=2,DC7*管理者用人口入力シート!AX$8))+将来予測シート②!$H29</f>
        <v>141.07843171167755</v>
      </c>
      <c r="DE10" s="10">
        <f>IF(管理者入力シート!$B$14=1,DD7*管理者用人口入力シート!AY$4,IF(管理者入力シート!$B$14=2,DD7*管理者用人口入力シート!AY$8))</f>
        <v>147.76220505107449</v>
      </c>
      <c r="DF10" s="10">
        <f>IF(管理者入力シート!$B$14=1,DE7*管理者用人口入力シート!AZ$4,IF(管理者入力シート!$B$14=2,DE7*管理者用人口入力シート!AZ$8))</f>
        <v>161.72989142511508</v>
      </c>
      <c r="DG10" s="10">
        <f>IF(管理者入力シート!$B$14=1,DF7*管理者用人口入力シート!BA$4,IF(管理者入力シート!$B$14=2,DF7*管理者用人口入力シート!BA$8))</f>
        <v>224.06039769768029</v>
      </c>
      <c r="DH10" s="10">
        <f>IF(管理者入力シート!$B$14=1,DG7*管理者用人口入力シート!BB$4,IF(管理者入力シート!$B$14=2,DG7*管理者用人口入力シート!BB$8))</f>
        <v>254.1859715548336</v>
      </c>
      <c r="DI10" s="10">
        <f>IF(管理者入力シート!$B$14=1,DH7*管理者用人口入力シート!BC$4,IF(管理者入力シート!$B$14=2,DH7*管理者用人口入力シート!BC$8))</f>
        <v>229.46891542319543</v>
      </c>
      <c r="DJ10" s="10">
        <f>IF(管理者入力シート!$B$14=1,DI7*管理者用人口入力シート!BD$4,IF(管理者入力シート!$B$14=2,DI7*管理者用人口入力シート!BD$8))</f>
        <v>120.93207340618356</v>
      </c>
      <c r="DK10" s="10">
        <f>IF(管理者入力シート!$B$14=1,DJ7*管理者用人口入力シート!BE$4,IF(管理者入力シート!$B$14=2,DJ7*管理者用人口入力シート!BE$8))</f>
        <v>60.22481837097547</v>
      </c>
      <c r="DL10" s="10">
        <f>IF(管理者入力シート!$B$14=1,DK7*管理者用人口入力シート!BF$4,IF(管理者入力シート!$B$14=2,DK7*管理者用人口入力シート!BF$8))</f>
        <v>13.197996579838239</v>
      </c>
      <c r="DM10" s="10">
        <f t="shared" si="69"/>
        <v>2476.9933710814389</v>
      </c>
      <c r="DN10" s="10">
        <f t="shared" si="34"/>
        <v>92.548922999226164</v>
      </c>
      <c r="DO10" s="10">
        <f t="shared" si="35"/>
        <v>53.163614584042548</v>
      </c>
      <c r="DP10" s="10">
        <f t="shared" si="6"/>
        <v>1211.5622695088962</v>
      </c>
      <c r="DQ10" s="10">
        <f t="shared" si="36"/>
        <v>902.07017303270663</v>
      </c>
      <c r="DR10" s="14">
        <f t="shared" si="37"/>
        <v>0.48912616547695326</v>
      </c>
      <c r="DS10" s="14">
        <f t="shared" si="38"/>
        <v>0.36417948613195877</v>
      </c>
      <c r="DT10" s="10">
        <f t="shared" si="70"/>
        <v>277.80524556588273</v>
      </c>
      <c r="DV10" s="62" t="s">
        <v>405</v>
      </c>
      <c r="DW10" s="209">
        <f>((SUM(BL12:BL13)*3/5+SUM(BM12:BM13)+SUM(BN12:BN13)*1/5)-(SUM(E12:E13)*3/5+SUM(F12:F13)+SUM(G12:G13)*1/5))/4</f>
        <v>-46.948196729339308</v>
      </c>
      <c r="DX10" s="29">
        <f>DX9</f>
        <v>2035</v>
      </c>
      <c r="DY10" s="4" t="s">
        <v>22</v>
      </c>
      <c r="DZ10" s="10">
        <f>FB10*$AK$14</f>
        <v>113.22202148916465</v>
      </c>
      <c r="EA10" s="10">
        <f>IF(管理者入力シート!$B$14=1,DZ7*管理者用人口入力シート!AM$4,IF(管理者入力シート!$B$14=2,DZ7*管理者用人口入力シート!AM$8))</f>
        <v>122.68038305347325</v>
      </c>
      <c r="EB10" s="10">
        <f>IF(管理者入力シート!$B$14=1,EA7*管理者用人口入力シート!AN$4,IF(管理者入力シート!$B$14=2,EA7*管理者用人口入力シート!AN$8))</f>
        <v>83.857135187821243</v>
      </c>
      <c r="EC10" s="10">
        <f>IF(管理者入力シート!$B$14=1,EB7*管理者用人口入力シート!AO$4,IF(管理者入力シート!$B$14=2,EB7*管理者用人口入力シート!AO$8))</f>
        <v>92.765902386070678</v>
      </c>
      <c r="ED10" s="10">
        <f>IF(管理者入力シート!$B$14=1,EC7*管理者用人口入力シート!AP$4,IF(管理者入力シート!$B$14=2,EC7*管理者用人口入力シート!AP$8))</f>
        <v>79.480436502109512</v>
      </c>
      <c r="EE10" s="10">
        <f>IF(管理者入力シート!$B$14=1,ED7*管理者用人口入力シート!AQ$4,IF(管理者入力シート!$B$14=2,ED7*管理者用人口入力シート!AQ$8))+DX1</f>
        <v>122.21163991543322</v>
      </c>
      <c r="EF10" s="10">
        <f>IF(管理者入力シート!$B$14=1,EE7*管理者用人口入力シート!AR$4,IF(管理者入力シート!$B$14=2,EE7*管理者用人口入力シート!AR$8))+DX1</f>
        <v>156.04810200487938</v>
      </c>
      <c r="EG10" s="10">
        <f>IF(管理者入力シート!$B$14=1,EF7*管理者用人口入力シート!AS$4,IF(管理者入力シート!$B$14=2,EF7*管理者用人口入力シート!AS$8))+DX1</f>
        <v>212.74562907031878</v>
      </c>
      <c r="EH10" s="10">
        <f>IF(管理者入力シート!$B$14=1,EG7*管理者用人口入力シート!AT$4,IF(管理者入力シート!$B$14=2,EG7*管理者用人口入力シート!AT$8))</f>
        <v>194.25640263797229</v>
      </c>
      <c r="EI10" s="10">
        <f>IF(管理者入力シート!$B$14=1,EH7*管理者用人口入力シート!AU$4,IF(管理者入力シート!$B$14=2,EH7*管理者用人口入力シート!AU$8))</f>
        <v>183.01238098205107</v>
      </c>
      <c r="EJ10" s="10">
        <f>IF(管理者入力シート!$B$14=1,EI7*管理者用人口入力シート!AV$4,IF(管理者入力シート!$B$14=2,EI7*管理者用人口入力シート!AV$8))</f>
        <v>153.71242071484028</v>
      </c>
      <c r="EK10" s="10">
        <f>IF(管理者入力シート!$B$14=1,EJ7*管理者用人口入力シート!AW$4,IF(管理者入力シート!$B$14=2,EJ7*管理者用人口入力シート!AW$8))</f>
        <v>165.20988315650459</v>
      </c>
      <c r="EL10" s="10">
        <f>IF(管理者入力シート!$B$14=1,EK7*管理者用人口入力シート!AX$4,IF(管理者入力シート!$B$14=2,EK7*管理者用人口入力シート!AX$8))</f>
        <v>141.07843171167755</v>
      </c>
      <c r="EM10" s="10">
        <f>IF(管理者入力シート!$B$14=1,EL7*管理者用人口入力シート!AY$4,IF(管理者入力シート!$B$14=2,EL7*管理者用人口入力シート!AY$8))</f>
        <v>147.76220505107449</v>
      </c>
      <c r="EN10" s="10">
        <f>IF(管理者入力シート!$B$14=1,EM7*管理者用人口入力シート!AZ$4,IF(管理者入力シート!$B$14=2,EM7*管理者用人口入力シート!AZ$8))</f>
        <v>161.72989142511508</v>
      </c>
      <c r="EO10" s="10">
        <f>IF(管理者入力シート!$B$14=1,EN7*管理者用人口入力シート!BA$4,IF(管理者入力シート!$B$14=2,EN7*管理者用人口入力シート!BA$8))</f>
        <v>224.06039769768029</v>
      </c>
      <c r="EP10" s="10">
        <f>IF(管理者入力シート!$B$14=1,EO7*管理者用人口入力シート!BB$4,IF(管理者入力シート!$B$14=2,EO7*管理者用人口入力シート!BB$8))</f>
        <v>254.1859715548336</v>
      </c>
      <c r="EQ10" s="10">
        <f>IF(管理者入力シート!$B$14=1,EP7*管理者用人口入力シート!BC$4,IF(管理者入力シート!$B$14=2,EP7*管理者用人口入力シート!BC$8))</f>
        <v>229.46891542319543</v>
      </c>
      <c r="ER10" s="10">
        <f>IF(管理者入力シート!$B$14=1,EQ7*管理者用人口入力シート!BD$4,IF(管理者入力シート!$B$14=2,EQ7*管理者用人口入力シート!BD$8))</f>
        <v>120.93207340618356</v>
      </c>
      <c r="ES10" s="10">
        <f>IF(管理者入力シート!$B$14=1,ER7*管理者用人口入力シート!BE$4,IF(管理者入力シート!$B$14=2,ER7*管理者用人口入力シート!BE$8))</f>
        <v>60.22481837097547</v>
      </c>
      <c r="ET10" s="10">
        <f>IF(管理者入力シート!$B$14=1,ES7*管理者用人口入力シート!BF$4,IF(管理者入力シート!$B$14=2,ES7*管理者用人口入力シート!BF$8))</f>
        <v>13.197996579838239</v>
      </c>
      <c r="EU10" s="10">
        <f t="shared" si="71"/>
        <v>3031.8430383212126</v>
      </c>
      <c r="EV10" s="10">
        <f t="shared" si="41"/>
        <v>123.92251094477669</v>
      </c>
      <c r="EW10" s="10">
        <f t="shared" si="42"/>
        <v>52.09603455234263</v>
      </c>
      <c r="EX10" s="10">
        <f t="shared" si="10"/>
        <v>1211.5622695088962</v>
      </c>
      <c r="EY10" s="10">
        <f t="shared" si="43"/>
        <v>902.07017303270663</v>
      </c>
      <c r="EZ10" s="14">
        <f t="shared" si="44"/>
        <v>0.39961246482593654</v>
      </c>
      <c r="FA10" s="14">
        <f t="shared" si="45"/>
        <v>0.29753195057624077</v>
      </c>
      <c r="FB10" s="10">
        <f t="shared" si="72"/>
        <v>570.48580749274083</v>
      </c>
    </row>
    <row r="11" spans="1:158" x14ac:dyDescent="0.15">
      <c r="A11" s="7" t="str">
        <f t="shared" si="11"/>
        <v>2015_3</v>
      </c>
      <c r="B11" s="30">
        <v>2015</v>
      </c>
      <c r="C11" s="5" t="s">
        <v>23</v>
      </c>
      <c r="D11" s="11">
        <v>193.40365673450714</v>
      </c>
      <c r="E11" s="11">
        <v>240.97783938461035</v>
      </c>
      <c r="F11" s="11">
        <v>261.1710048683791</v>
      </c>
      <c r="G11" s="11">
        <v>224.87344475793441</v>
      </c>
      <c r="H11" s="11">
        <v>206.40015693949459</v>
      </c>
      <c r="I11" s="11">
        <v>236.00595801627415</v>
      </c>
      <c r="J11" s="11">
        <v>282.7309457689928</v>
      </c>
      <c r="K11" s="11">
        <v>290.22898694180628</v>
      </c>
      <c r="L11" s="11">
        <v>288.2728393707315</v>
      </c>
      <c r="M11" s="11">
        <v>295.10862616907554</v>
      </c>
      <c r="N11" s="11">
        <v>349.59907867909203</v>
      </c>
      <c r="O11" s="11">
        <v>466.99809824524164</v>
      </c>
      <c r="P11" s="11">
        <v>534.45412962578155</v>
      </c>
      <c r="Q11" s="11">
        <v>506.54472278861931</v>
      </c>
      <c r="R11" s="11">
        <v>325.83716266913723</v>
      </c>
      <c r="S11" s="11">
        <v>315.42432736523267</v>
      </c>
      <c r="T11" s="11">
        <v>320.75950877185505</v>
      </c>
      <c r="U11" s="11">
        <v>269.02070936692866</v>
      </c>
      <c r="V11" s="11">
        <v>136.5960782923562</v>
      </c>
      <c r="W11" s="11">
        <v>51.532486760057793</v>
      </c>
      <c r="X11" s="11">
        <v>6.4802384838921059</v>
      </c>
      <c r="Y11" s="11">
        <f t="shared" si="68"/>
        <v>5802.420000000001</v>
      </c>
      <c r="Z11" s="11">
        <f t="shared" si="12"/>
        <v>301.28930655179363</v>
      </c>
      <c r="AA11" s="11">
        <f t="shared" si="13"/>
        <v>149.44309089893852</v>
      </c>
      <c r="AB11" s="11">
        <f t="shared" si="0"/>
        <v>1932.1952344980791</v>
      </c>
      <c r="AC11" s="11">
        <f t="shared" si="14"/>
        <v>1099.8133490403225</v>
      </c>
      <c r="AD11" s="15">
        <f t="shared" si="15"/>
        <v>0.33299816878097049</v>
      </c>
      <c r="AE11" s="15">
        <f t="shared" si="16"/>
        <v>0.18954390565321405</v>
      </c>
      <c r="AF11" s="11">
        <f t="shared" si="17"/>
        <v>1015.3660476665679</v>
      </c>
      <c r="BH11" s="7" t="str">
        <f t="shared" si="19"/>
        <v>2035_3</v>
      </c>
      <c r="BI11" s="30">
        <f>BI10</f>
        <v>2035</v>
      </c>
      <c r="BJ11" s="5" t="s">
        <v>23</v>
      </c>
      <c r="BK11" s="16">
        <f>BK9+BK10</f>
        <v>111.43428380840845</v>
      </c>
      <c r="BL11" s="16">
        <f t="shared" ref="BL11" si="117">BL9+BL10</f>
        <v>139.24954217715231</v>
      </c>
      <c r="BM11" s="16">
        <f t="shared" ref="BM11" si="118">BM9+BM10</f>
        <v>172.35908989507632</v>
      </c>
      <c r="BN11" s="16">
        <f t="shared" ref="BN11" si="119">BN9+BN10</f>
        <v>185.97361757437858</v>
      </c>
      <c r="BO11" s="16">
        <f t="shared" ref="BO11" si="120">BO9+BO10</f>
        <v>152.59745537234431</v>
      </c>
      <c r="BP11" s="16">
        <f t="shared" ref="BP11" si="121">BP9+BP10</f>
        <v>132.28182248468835</v>
      </c>
      <c r="BQ11" s="16">
        <f t="shared" ref="BQ11" si="122">BQ9+BQ10</f>
        <v>138.14933857059458</v>
      </c>
      <c r="BR11" s="16">
        <f t="shared" ref="BR11" si="123">BR9+BR10</f>
        <v>135.13743611430087</v>
      </c>
      <c r="BS11" s="16">
        <f t="shared" ref="BS11" si="124">BS9+BS10</f>
        <v>188.82920324568397</v>
      </c>
      <c r="BT11" s="16">
        <f t="shared" ref="BT11" si="125">BT9+BT10</f>
        <v>264.14553157942407</v>
      </c>
      <c r="BU11" s="16">
        <f t="shared" ref="BU11" si="126">BU9+BU10</f>
        <v>317.10843033346174</v>
      </c>
      <c r="BV11" s="16">
        <f t="shared" ref="BV11" si="127">BV9+BV10</f>
        <v>306.27051736299177</v>
      </c>
      <c r="BW11" s="16">
        <f t="shared" ref="BW11" si="128">BW9+BW10</f>
        <v>285.51826397651485</v>
      </c>
      <c r="BX11" s="16">
        <f t="shared" ref="BX11" si="129">BX9+BX10</f>
        <v>276.74409309924863</v>
      </c>
      <c r="BY11" s="16">
        <f t="shared" ref="BY11" si="130">BY9+BY10</f>
        <v>302.09793684149008</v>
      </c>
      <c r="BZ11" s="16">
        <f t="shared" ref="BZ11" si="131">BZ9+BZ10</f>
        <v>397.24044088750327</v>
      </c>
      <c r="CA11" s="16">
        <f t="shared" ref="CA11" si="132">CA9+CA10</f>
        <v>421.76551027502484</v>
      </c>
      <c r="CB11" s="16">
        <f t="shared" ref="CB11" si="133">CB9+CB10</f>
        <v>355.24725301993101</v>
      </c>
      <c r="CC11" s="16">
        <f t="shared" ref="CC11" si="134">CC9+CC10</f>
        <v>156.9956171210753</v>
      </c>
      <c r="CD11" s="16">
        <f t="shared" ref="CD11" si="135">CD9+CD10</f>
        <v>70.584327888192675</v>
      </c>
      <c r="CE11" s="16">
        <f t="shared" ref="CE11" si="136">CE9+CE10</f>
        <v>15.521750870757552</v>
      </c>
      <c r="CF11" s="11">
        <f t="shared" si="2"/>
        <v>4525.2514624982432</v>
      </c>
      <c r="CG11" s="11">
        <f t="shared" si="20"/>
        <v>186.96517924333716</v>
      </c>
      <c r="CH11" s="11">
        <f t="shared" si="21"/>
        <v>106.13835947290625</v>
      </c>
      <c r="CI11" s="11">
        <f t="shared" si="3"/>
        <v>1996.1969300032235</v>
      </c>
      <c r="CJ11" s="11">
        <f t="shared" si="22"/>
        <v>1417.3549000624851</v>
      </c>
      <c r="CK11" s="15">
        <f t="shared" si="23"/>
        <v>0.44112397875480464</v>
      </c>
      <c r="CL11" s="15">
        <f t="shared" si="24"/>
        <v>0.31321019656220606</v>
      </c>
      <c r="CM11" s="11">
        <f t="shared" si="25"/>
        <v>558.16605254192814</v>
      </c>
      <c r="CO11" s="7" t="str">
        <f t="shared" si="26"/>
        <v>2035_3</v>
      </c>
      <c r="CP11" s="30">
        <f>CP10</f>
        <v>2035</v>
      </c>
      <c r="CQ11" s="5" t="s">
        <v>23</v>
      </c>
      <c r="CR11" s="16">
        <f>CR9+CR10</f>
        <v>116.0839566899789</v>
      </c>
      <c r="CS11" s="16">
        <f t="shared" ref="CS11" si="137">CS9+CS10</f>
        <v>143.40187630728786</v>
      </c>
      <c r="CT11" s="16">
        <f t="shared" ref="CT11" si="138">CT9+CT10</f>
        <v>176.8002161711569</v>
      </c>
      <c r="CU11" s="16">
        <f t="shared" ref="CU11" si="139">CU9+CU10</f>
        <v>187.69321921090403</v>
      </c>
      <c r="CV11" s="16">
        <f t="shared" ref="CV11" si="140">CV9+CV10</f>
        <v>153.78399560988817</v>
      </c>
      <c r="CW11" s="16">
        <f t="shared" ref="CW11" si="141">CW9+CW10</f>
        <v>136.28182248468835</v>
      </c>
      <c r="CX11" s="16">
        <f t="shared" ref="CX11" si="142">CX9+CX10</f>
        <v>142.04906616455077</v>
      </c>
      <c r="CY11" s="16">
        <f t="shared" ref="CY11" si="143">CY9+CY10</f>
        <v>139.24285625934374</v>
      </c>
      <c r="CZ11" s="16">
        <f t="shared" ref="CZ11" si="144">CZ9+CZ10</f>
        <v>189.82920324568397</v>
      </c>
      <c r="DA11" s="16">
        <f t="shared" ref="DA11" si="145">DA9+DA10</f>
        <v>265.17186492914493</v>
      </c>
      <c r="DB11" s="16">
        <f t="shared" ref="DB11" si="146">DB9+DB10</f>
        <v>318.0885312264158</v>
      </c>
      <c r="DC11" s="16">
        <f t="shared" ref="DC11" si="147">DC9+DC10</f>
        <v>306.27051736299177</v>
      </c>
      <c r="DD11" s="16">
        <f t="shared" ref="DD11" si="148">DD9+DD10</f>
        <v>285.51826397651485</v>
      </c>
      <c r="DE11" s="16">
        <f t="shared" ref="DE11" si="149">DE9+DE10</f>
        <v>276.74409309924863</v>
      </c>
      <c r="DF11" s="16">
        <f t="shared" ref="DF11" si="150">DF9+DF10</f>
        <v>302.09793684149008</v>
      </c>
      <c r="DG11" s="16">
        <f t="shared" ref="DG11" si="151">DG9+DG10</f>
        <v>397.24044088750327</v>
      </c>
      <c r="DH11" s="16">
        <f t="shared" ref="DH11" si="152">DH9+DH10</f>
        <v>421.76551027502484</v>
      </c>
      <c r="DI11" s="16">
        <f t="shared" ref="DI11" si="153">DI9+DI10</f>
        <v>355.24725301993101</v>
      </c>
      <c r="DJ11" s="16">
        <f t="shared" ref="DJ11" si="154">DJ9+DJ10</f>
        <v>156.9956171210753</v>
      </c>
      <c r="DK11" s="16">
        <f t="shared" ref="DK11" si="155">DK9+DK10</f>
        <v>70.584327888192675</v>
      </c>
      <c r="DL11" s="16">
        <f t="shared" ref="DL11" si="156">DL9+DL10</f>
        <v>15.521750870757552</v>
      </c>
      <c r="DM11" s="11">
        <f t="shared" si="69"/>
        <v>4556.4123196417731</v>
      </c>
      <c r="DN11" s="11">
        <f t="shared" si="34"/>
        <v>192.12125548706689</v>
      </c>
      <c r="DO11" s="11">
        <f t="shared" si="35"/>
        <v>108.25873031064357</v>
      </c>
      <c r="DP11" s="11">
        <f t="shared" si="6"/>
        <v>1996.1969300032235</v>
      </c>
      <c r="DQ11" s="11">
        <f t="shared" si="36"/>
        <v>1417.3549000624851</v>
      </c>
      <c r="DR11" s="15">
        <f t="shared" si="37"/>
        <v>0.43810717511187952</v>
      </c>
      <c r="DS11" s="15">
        <f t="shared" si="38"/>
        <v>0.3110681827350335</v>
      </c>
      <c r="DT11" s="11">
        <f t="shared" si="70"/>
        <v>571.35774051847102</v>
      </c>
      <c r="DW11" s="210"/>
      <c r="DX11" s="30">
        <f>DX10</f>
        <v>2035</v>
      </c>
      <c r="DY11" s="5" t="s">
        <v>23</v>
      </c>
      <c r="DZ11" s="16">
        <f>DZ9+DZ10</f>
        <v>234.27663513579949</v>
      </c>
      <c r="EA11" s="16">
        <f t="shared" ref="EA11" si="157">EA9+EA10</f>
        <v>258.24435064645718</v>
      </c>
      <c r="EB11" s="16">
        <f t="shared" ref="EB11" si="158">EB9+EB10</f>
        <v>172.35908989507632</v>
      </c>
      <c r="EC11" s="16">
        <f t="shared" ref="EC11" si="159">EC9+EC10</f>
        <v>185.97361757437858</v>
      </c>
      <c r="ED11" s="16">
        <f t="shared" ref="ED11" si="160">ED9+ED10</f>
        <v>152.59745537234431</v>
      </c>
      <c r="EE11" s="16">
        <f t="shared" ref="EE11" si="161">EE9+EE10</f>
        <v>232.28182248468835</v>
      </c>
      <c r="EF11" s="16">
        <f t="shared" ref="EF11" si="162">EF9+EF10</f>
        <v>335.64252841949963</v>
      </c>
      <c r="EG11" s="16">
        <f t="shared" ref="EG11" si="163">EG9+EG10</f>
        <v>443.14042885259062</v>
      </c>
      <c r="EH11" s="16">
        <f t="shared" ref="EH11" si="164">EH9+EH10</f>
        <v>396.15696915190449</v>
      </c>
      <c r="EI11" s="16">
        <f t="shared" ref="EI11" si="165">EI9+EI10</f>
        <v>367.77217704751814</v>
      </c>
      <c r="EJ11" s="16">
        <f t="shared" ref="EJ11" si="166">EJ9+EJ10</f>
        <v>317.10843033346174</v>
      </c>
      <c r="EK11" s="16">
        <f t="shared" ref="EK11" si="167">EK9+EK10</f>
        <v>306.27051736299177</v>
      </c>
      <c r="EL11" s="16">
        <f t="shared" ref="EL11" si="168">EL9+EL10</f>
        <v>285.51826397651485</v>
      </c>
      <c r="EM11" s="16">
        <f t="shared" ref="EM11" si="169">EM9+EM10</f>
        <v>276.74409309924863</v>
      </c>
      <c r="EN11" s="16">
        <f t="shared" ref="EN11" si="170">EN9+EN10</f>
        <v>302.09793684149008</v>
      </c>
      <c r="EO11" s="16">
        <f t="shared" ref="EO11" si="171">EO9+EO10</f>
        <v>397.24044088750327</v>
      </c>
      <c r="EP11" s="16">
        <f t="shared" ref="EP11" si="172">EP9+EP10</f>
        <v>421.76551027502484</v>
      </c>
      <c r="EQ11" s="16">
        <f t="shared" ref="EQ11" si="173">EQ9+EQ10</f>
        <v>355.24725301993101</v>
      </c>
      <c r="ER11" s="16">
        <f t="shared" ref="ER11" si="174">ER9+ER10</f>
        <v>156.9956171210753</v>
      </c>
      <c r="ES11" s="16">
        <f t="shared" ref="ES11" si="175">ES9+ES10</f>
        <v>70.584327888192675</v>
      </c>
      <c r="ET11" s="16">
        <f t="shared" ref="ET11" si="176">ET9+ET10</f>
        <v>15.521750870757552</v>
      </c>
      <c r="EU11" s="11">
        <f t="shared" si="71"/>
        <v>5683.5392162564494</v>
      </c>
      <c r="EV11" s="11">
        <f t="shared" si="41"/>
        <v>258.36206432492008</v>
      </c>
      <c r="EW11" s="11">
        <f t="shared" si="42"/>
        <v>106.13835947290625</v>
      </c>
      <c r="EX11" s="11">
        <f t="shared" si="10"/>
        <v>1996.1969300032235</v>
      </c>
      <c r="EY11" s="11">
        <f t="shared" si="43"/>
        <v>1417.3549000624851</v>
      </c>
      <c r="EZ11" s="15">
        <f t="shared" si="44"/>
        <v>0.35122427312431731</v>
      </c>
      <c r="FA11" s="15">
        <f t="shared" si="45"/>
        <v>0.24937892502060496</v>
      </c>
      <c r="FB11" s="11">
        <f t="shared" si="72"/>
        <v>1163.662235129123</v>
      </c>
    </row>
    <row r="12" spans="1:158" x14ac:dyDescent="0.15">
      <c r="A12" s="7" t="str">
        <f t="shared" si="11"/>
        <v>2020_1</v>
      </c>
      <c r="B12" s="28">
        <v>2020</v>
      </c>
      <c r="C12" s="3" t="s">
        <v>21</v>
      </c>
      <c r="D12" s="9">
        <v>91.648963452381381</v>
      </c>
      <c r="E12" s="9">
        <v>127.52053092033989</v>
      </c>
      <c r="F12" s="9">
        <v>116.7701508360837</v>
      </c>
      <c r="G12" s="9">
        <v>124.22606923244422</v>
      </c>
      <c r="H12" s="9">
        <v>76.754819227945276</v>
      </c>
      <c r="I12" s="9">
        <v>92.667317545340353</v>
      </c>
      <c r="J12" s="9">
        <v>124.14764545084813</v>
      </c>
      <c r="K12" s="9">
        <v>155.44112411055883</v>
      </c>
      <c r="L12" s="9">
        <v>140.64654459532903</v>
      </c>
      <c r="M12" s="9">
        <v>147.14765454771219</v>
      </c>
      <c r="N12" s="9">
        <v>143.13312619896848</v>
      </c>
      <c r="O12" s="9">
        <v>158.81151597754848</v>
      </c>
      <c r="P12" s="9">
        <v>227.65628335516823</v>
      </c>
      <c r="Q12" s="9">
        <v>246.40437789057128</v>
      </c>
      <c r="R12" s="9">
        <v>235.22505793289736</v>
      </c>
      <c r="S12" s="9">
        <v>123.9522569535673</v>
      </c>
      <c r="T12" s="9">
        <v>108.48290602066635</v>
      </c>
      <c r="U12" s="9">
        <v>91.220477049988659</v>
      </c>
      <c r="V12" s="9">
        <v>35.16518785789097</v>
      </c>
      <c r="W12" s="9">
        <v>4.1260426211925445</v>
      </c>
      <c r="X12" s="9">
        <v>1.1619482225573436</v>
      </c>
      <c r="Y12" s="9">
        <f t="shared" ref="Y12:Y14" si="177">SUM(D12:X12)</f>
        <v>2572.31</v>
      </c>
      <c r="Z12" s="9">
        <f>E12*3/5+F12*3/5</f>
        <v>146.57440905385414</v>
      </c>
      <c r="AA12" s="9">
        <f>F12*2/5+G12*1/5</f>
        <v>71.55327418092233</v>
      </c>
      <c r="AB12" s="9">
        <f t="shared" ref="AB12:AB14" si="178">SUM(Q12:X12)</f>
        <v>845.73825454933183</v>
      </c>
      <c r="AC12" s="9">
        <f>SUM(S12:X12)</f>
        <v>364.1088187258631</v>
      </c>
      <c r="AD12" s="13">
        <f>AB12/Y12</f>
        <v>0.32878550973612508</v>
      </c>
      <c r="AE12" s="13">
        <f>AC12/Y12</f>
        <v>0.14154935397594501</v>
      </c>
      <c r="AF12" s="9">
        <f>SUM(H12:K12)</f>
        <v>449.01090633469255</v>
      </c>
      <c r="AK12" s="61">
        <f>管理者入力シート!B5</f>
        <v>2020</v>
      </c>
      <c r="AL12" s="62"/>
      <c r="BH12" s="7" t="str">
        <f t="shared" si="19"/>
        <v>2040_1</v>
      </c>
      <c r="BI12" s="28">
        <f>管理者入力シート!B11</f>
        <v>2040</v>
      </c>
      <c r="BJ12" s="3" t="s">
        <v>21</v>
      </c>
      <c r="BK12" s="9">
        <f>CM13*$AK$13</f>
        <v>56.478343827232642</v>
      </c>
      <c r="BL12" s="9">
        <f>IF(管理者入力シート!$B$14=1,BK9*管理者用人口入力シート!AM$3,IF(管理者入力シート!$B$14=2,BK9*管理者用人口入力シート!AM$7))</f>
        <v>67.881555008561406</v>
      </c>
      <c r="BM12" s="9">
        <f>IF(管理者入力シート!$B$14=1,BL9*管理者用人口入力シート!AN$3,IF(管理者入力シート!$B$14=2,BL9*管理者用人口入力シート!AN$7))</f>
        <v>75.189800306272176</v>
      </c>
      <c r="BN12" s="9">
        <f>IF(管理者入力シート!$B$14=1,BM9*管理者用人口入力シート!AO$3,IF(管理者入力シート!$B$14=2,BM9*管理者用人口入力シート!AO$7))</f>
        <v>74.22408722076257</v>
      </c>
      <c r="BO12" s="9">
        <f>IF(管理者入力シート!$B$14=1,BN9*管理者用人口入力シート!AP$3,IF(管理者入力シート!$B$14=2,BN9*管理者用人口入力シート!AP$7))</f>
        <v>61.950741554740048</v>
      </c>
      <c r="BP12" s="9">
        <f>IF(管理者入力シート!$B$14=1,BO9*管理者用人口入力シート!AQ$3,IF(管理者入力シート!$B$14=2,BO9*管理者用人口入力シート!AQ$7))</f>
        <v>67.477492716344841</v>
      </c>
      <c r="BQ12" s="9">
        <f>IF(管理者入力シート!$B$14=1,BP9*管理者用人口入力シート!AR$3,IF(管理者入力シート!$B$14=2,BP9*管理者用人口入力シート!AR$7))</f>
        <v>61.686512789748207</v>
      </c>
      <c r="BR12" s="9">
        <f>IF(管理者入力シート!$B$14=1,BQ9*管理者用人口入力シート!AS$3,IF(管理者入力シート!$B$14=2,BQ9*管理者用人口入力シート!AS$7))</f>
        <v>81.084745165579704</v>
      </c>
      <c r="BS12" s="9">
        <f>IF(管理者入力シート!$B$14=1,BR9*管理者用人口入力シート!AT$3,IF(管理者入力シート!$B$14=2,BR9*管理者用人口入力シート!AT$7))</f>
        <v>75.933103960641674</v>
      </c>
      <c r="BT12" s="9">
        <f>IF(管理者入力シート!$B$14=1,BS9*管理者用人口入力シート!AU$3,IF(管理者入力シート!$B$14=2,BS9*管理者用人口入力シート!AU$7))</f>
        <v>101.98362929799089</v>
      </c>
      <c r="BU12" s="9">
        <f>IF(管理者入力シート!$B$14=1,BT9*管理者用人口入力シート!AV$3,IF(管理者入力シート!$B$14=2,BT9*管理者用人口入力シート!AV$7))</f>
        <v>135.23030945852889</v>
      </c>
      <c r="BV12" s="9">
        <f>IF(管理者入力シート!$B$14=1,BU9*管理者用人口入力シート!AW$3,IF(管理者入力シート!$B$14=2,BU9*管理者用人口入力シート!AW$7))</f>
        <v>157.04945292694873</v>
      </c>
      <c r="BW12" s="9">
        <f>IF(管理者入力シート!$B$14=1,BV9*管理者用人口入力シート!AX$3,IF(管理者入力シート!$B$14=2,BV9*管理者用人口入力シート!AX$7))</f>
        <v>141.73644340318191</v>
      </c>
      <c r="BX12" s="9">
        <f>IF(管理者入力シート!$B$14=1,BW9*管理者用人口入力シート!AY$3,IF(管理者入力シート!$B$14=2,BW9*管理者用人口入力シート!AY$7))</f>
        <v>134.7736120519786</v>
      </c>
      <c r="BY12" s="9">
        <f>IF(管理者入力シート!$B$14=1,BX9*管理者用人口入力シート!AZ$3,IF(管理者入力シート!$B$14=2,BX9*管理者用人口入力シート!AZ$7))</f>
        <v>121.59659104797578</v>
      </c>
      <c r="BZ12" s="9">
        <f>IF(管理者入力シート!$B$14=1,BY9*管理者用人口入力シート!BA$3,IF(管理者入力シート!$B$14=2,BY9*管理者用人口入力シート!BA$7))</f>
        <v>121.38803810866099</v>
      </c>
      <c r="CA12" s="9">
        <f>IF(管理者入力シート!$B$14=1,BZ9*管理者用人口入力シート!BB$3,IF(管理者入力シート!$B$14=2,BZ9*管理者用人口入力シート!BB$7))</f>
        <v>144.46748254131236</v>
      </c>
      <c r="CB12" s="9">
        <f>IF(管理者入力シート!$B$14=1,CA9*管理者用人口入力シート!BC$3,IF(管理者入力シート!$B$14=2,CA9*管理者用人口入力シート!BC$7))</f>
        <v>124.21194311546819</v>
      </c>
      <c r="CC12" s="9">
        <f>IF(管理者入力シート!$B$14=1,CB9*管理者用人口入力シート!BD$3,IF(管理者入力シート!$B$14=2,CB9*管理者用人口入力シート!BD$7))</f>
        <v>59.184118654118123</v>
      </c>
      <c r="CD12" s="9">
        <f>IF(管理者入力シート!$B$14=1,CC9*管理者用人口入力シート!BE$3,IF(管理者入力シート!$B$14=2,CC9*管理者用人口入力シート!BE$7))</f>
        <v>9.8742605684252212</v>
      </c>
      <c r="CE12" s="9">
        <f>IF(管理者入力シート!$B$14=1,CD9*管理者用人口入力シート!BF$3,IF(管理者入力シート!$B$14=2,CD9*管理者用人口入力シート!BF$7))</f>
        <v>2.0483376191240041</v>
      </c>
      <c r="CF12" s="9">
        <f t="shared" si="2"/>
        <v>1875.4506013435966</v>
      </c>
      <c r="CG12" s="9">
        <f t="shared" si="20"/>
        <v>85.842813188900152</v>
      </c>
      <c r="CH12" s="9">
        <f t="shared" si="21"/>
        <v>44.920737566661387</v>
      </c>
      <c r="CI12" s="9">
        <f t="shared" si="3"/>
        <v>717.54438370706339</v>
      </c>
      <c r="CJ12" s="9">
        <f t="shared" si="22"/>
        <v>461.17418060710889</v>
      </c>
      <c r="CK12" s="13">
        <f t="shared" si="23"/>
        <v>0.38259839165745313</v>
      </c>
      <c r="CL12" s="13">
        <f t="shared" si="24"/>
        <v>0.24590046801377646</v>
      </c>
      <c r="CM12" s="9">
        <f t="shared" si="25"/>
        <v>272.19949222641276</v>
      </c>
      <c r="CO12" s="7" t="str">
        <f t="shared" si="26"/>
        <v>2040_1</v>
      </c>
      <c r="CP12" s="28">
        <f>管理者入力シート!B11</f>
        <v>2040</v>
      </c>
      <c r="CQ12" s="3" t="s">
        <v>21</v>
      </c>
      <c r="CR12" s="9">
        <f>DT13*$AK$13+将来予測シート②!$G17</f>
        <v>58.963542451165921</v>
      </c>
      <c r="CS12" s="9">
        <f>IF(管理者入力シート!$B$14=1,CR9*管理者用人口入力シート!AM$3,IF(管理者入力シート!$B$14=2,CR9*管理者用人口入力シート!AM$7))+将来予測シート②!$G18</f>
        <v>70.674545434130394</v>
      </c>
      <c r="CT12" s="9">
        <f>IF(管理者入力シート!$B$14=1,CS9*管理者用人口入力シート!AN$3,IF(管理者入力シート!$B$14=2,CS9*管理者用人口入力シート!AN$7))+将来予測シート②!$G19</f>
        <v>78.392060957633106</v>
      </c>
      <c r="CU12" s="9">
        <f>IF(管理者入力シート!$B$14=1,CT9*管理者用人口入力シート!AO$3,IF(管理者入力シート!$B$14=2,CT9*管理者用人口入力シート!AO$7))+将来予測シート②!$G20</f>
        <v>76.079766797078037</v>
      </c>
      <c r="CV12" s="9">
        <f>IF(管理者入力シート!$B$14=1,CU9*管理者用人口入力シート!AP$3,IF(管理者入力シート!$B$14=2,CU9*管理者用人口入力シート!AP$7))+将来予測シート②!$G21</f>
        <v>62.508166820665338</v>
      </c>
      <c r="CW12" s="9">
        <f>IF(管理者入力シート!$B$14=1,CV9*管理者用人口入力シート!AQ$3,IF(管理者入力シート!$B$14=2,CV9*管理者用人口入力シート!AQ$7))+将来予測シート②!$G22</f>
        <v>69.991923691548251</v>
      </c>
      <c r="CX12" s="9">
        <f>IF(管理者入力シート!$B$14=1,CW9*管理者用人口入力シート!AR$3,IF(管理者入力シート!$B$14=2,CW9*管理者用人口入力シート!AR$7))+将来予測シート②!$G23</f>
        <v>63.740327516168577</v>
      </c>
      <c r="CY12" s="9">
        <f>IF(管理者入力シート!$B$14=1,CX9*管理者用人口入力シート!AS$3,IF(管理者入力シート!$B$14=2,CX9*管理者用人口入力シート!AS$7))+将来予測シート②!$G24</f>
        <v>83.212988590162524</v>
      </c>
      <c r="CZ12" s="9">
        <f>IF(管理者入力シート!$B$14=1,CY9*管理者用人口入力シート!AT$3,IF(管理者入力シート!$B$14=2,CY9*管理者用人口入力シート!AT$7))+将来予測シート②!$G25</f>
        <v>78.07705584584653</v>
      </c>
      <c r="DA12" s="9">
        <f>IF(管理者入力シート!$B$14=1,CZ9*管理者用人口入力シート!AU$3,IF(管理者入力シート!$B$14=2,CZ9*管理者用人口入力シート!AU$7))+将来予測シート②!$G26</f>
        <v>101.98362929799089</v>
      </c>
      <c r="DB12" s="9">
        <f>IF(管理者入力シート!$B$14=1,DA9*管理者用人口入力シート!AV$3,IF(管理者入力シート!$B$14=2,DA9*管理者用人口入力シート!AV$7))+将来予測シート②!$G27</f>
        <v>135.23030945852889</v>
      </c>
      <c r="DC12" s="9">
        <f>IF(管理者入力シート!$B$14=1,DB9*管理者用人口入力シート!AW$3,IF(管理者入力シート!$B$14=2,DB9*管理者用人口入力シート!AW$7))+将来予測シート②!$G28</f>
        <v>157.04945292694873</v>
      </c>
      <c r="DD12" s="9">
        <f>IF(管理者入力シート!$B$14=1,DC9*管理者用人口入力シート!AX$3,IF(管理者入力シート!$B$14=2,DC9*管理者用人口入力シート!AX$7))+将来予測シート②!$G29</f>
        <v>141.73644340318191</v>
      </c>
      <c r="DE12" s="9">
        <f>IF(管理者入力シート!$B$14=1,DD9*管理者用人口入力シート!AY$3,IF(管理者入力シート!$B$14=2,DD9*管理者用人口入力シート!AY$7))</f>
        <v>134.7736120519786</v>
      </c>
      <c r="DF12" s="9">
        <f>IF(管理者入力シート!$B$14=1,DE9*管理者用人口入力シート!AZ$3,IF(管理者入力シート!$B$14=2,DE9*管理者用人口入力シート!AZ$7))</f>
        <v>121.59659104797578</v>
      </c>
      <c r="DG12" s="9">
        <f>IF(管理者入力シート!$B$14=1,DF9*管理者用人口入力シート!BA$3,IF(管理者入力シート!$B$14=2,DF9*管理者用人口入力シート!BA$7))</f>
        <v>121.38803810866099</v>
      </c>
      <c r="DH12" s="9">
        <f>IF(管理者入力シート!$B$14=1,DG9*管理者用人口入力シート!BB$3,IF(管理者入力シート!$B$14=2,DG9*管理者用人口入力シート!BB$7))</f>
        <v>144.46748254131236</v>
      </c>
      <c r="DI12" s="9">
        <f>IF(管理者入力シート!$B$14=1,DH9*管理者用人口入力シート!BC$3,IF(管理者入力シート!$B$14=2,DH9*管理者用人口入力シート!BC$7))</f>
        <v>124.21194311546819</v>
      </c>
      <c r="DJ12" s="9">
        <f>IF(管理者入力シート!$B$14=1,DI9*管理者用人口入力シート!BD$3,IF(管理者入力シート!$B$14=2,DI9*管理者用人口入力シート!BD$7))</f>
        <v>59.184118654118123</v>
      </c>
      <c r="DK12" s="9">
        <f>IF(管理者入力シート!$B$14=1,DJ9*管理者用人口入力シート!BE$3,IF(管理者入力シート!$B$14=2,DJ9*管理者用人口入力シート!BE$7))</f>
        <v>9.8742605684252212</v>
      </c>
      <c r="DL12" s="9">
        <f>IF(管理者入力シート!$B$14=1,DK9*管理者用人口入力シート!BF$3,IF(管理者入力シート!$B$14=2,DK9*管理者用人口入力シート!BF$7))</f>
        <v>2.0483376191240041</v>
      </c>
      <c r="DM12" s="9">
        <f t="shared" si="69"/>
        <v>1895.1845968981124</v>
      </c>
      <c r="DN12" s="9">
        <f t="shared" si="34"/>
        <v>89.439963835058109</v>
      </c>
      <c r="DO12" s="9">
        <f t="shared" si="35"/>
        <v>46.572777742468851</v>
      </c>
      <c r="DP12" s="9">
        <f t="shared" si="6"/>
        <v>717.54438370706339</v>
      </c>
      <c r="DQ12" s="9">
        <f t="shared" si="36"/>
        <v>461.17418060710889</v>
      </c>
      <c r="DR12" s="13">
        <f t="shared" si="37"/>
        <v>0.37861450799119145</v>
      </c>
      <c r="DS12" s="13">
        <f t="shared" si="38"/>
        <v>0.2433399793149027</v>
      </c>
      <c r="DT12" s="9">
        <f t="shared" si="70"/>
        <v>279.4534066185447</v>
      </c>
      <c r="DV12" s="211"/>
      <c r="DX12" s="28">
        <f>管理者入力シート!B11</f>
        <v>2040</v>
      </c>
      <c r="DY12" s="3" t="s">
        <v>21</v>
      </c>
      <c r="DZ12" s="9">
        <f>FB13*$AK$13</f>
        <v>119.95301927133605</v>
      </c>
      <c r="EA12" s="129">
        <f>IF(管理者入力シート!$B$14=1,DZ9*管理者用人口入力シート!AM$3,IF(管理者入力シート!$B$14=2,DZ9*管理者用人口入力シート!AM$7))</f>
        <v>142.71247368120518</v>
      </c>
      <c r="EB12" s="9">
        <f>IF(管理者入力シート!$B$14=1,EA9*管理者用人口入力シート!AN$3,IF(管理者入力シート!$B$14=2,EA9*管理者用人口入力シート!AN$7))</f>
        <v>139.44276477855442</v>
      </c>
      <c r="EC12" s="9">
        <f>IF(管理者入力シート!$B$14=1,EB9*管理者用人口入力シート!AO$3,IF(管理者入力シート!$B$14=2,EB9*管理者用人口入力シート!AO$7))</f>
        <v>74.22408722076257</v>
      </c>
      <c r="ED12" s="9">
        <f>IF(管理者入力シート!$B$14=1,EC9*管理者用人口入力シート!AP$3,IF(管理者入力シート!$B$14=2,EC9*管理者用人口入力シート!AP$7))</f>
        <v>61.950741554740048</v>
      </c>
      <c r="EE12" s="9">
        <f>IF(管理者入力シート!$B$14=1,ED9*管理者用人口入力シート!AQ$3,IF(管理者入力シート!$B$14=2,ED9*管理者用人口入力シート!AQ$7))+DX1</f>
        <v>117.47749271634484</v>
      </c>
      <c r="EF12" s="9">
        <f>IF(管理者入力シート!$B$14=1,EE9*管理者用人口入力シート!AR$3,IF(管理者入力シート!$B$14=2,EE9*管理者用人口入力シート!AR$7))+DX1</f>
        <v>163.03188095025746</v>
      </c>
      <c r="EG12" s="9">
        <f>IF(管理者入力シート!$B$14=1,EF9*管理者用人口入力シート!AS$3,IF(管理者入力シート!$B$14=2,EF9*管理者用人口入力シート!AS$7))+DX1</f>
        <v>236.1027931057927</v>
      </c>
      <c r="EH12" s="9">
        <f>IF(管理者入力シート!$B$14=1,EG9*管理者用人口入力シート!AT$3,IF(管理者入力シート!$B$14=2,EG9*管理者用人口入力シート!AT$7))</f>
        <v>232.09533253059078</v>
      </c>
      <c r="EI12" s="9">
        <f>IF(管理者入力シート!$B$14=1,EH9*管理者用人口入力シート!AU$3,IF(管理者入力シート!$B$14=2,EH9*管理者用人口入力シート!AU$7))</f>
        <v>207.2795084642909</v>
      </c>
      <c r="EJ12" s="9">
        <f>IF(管理者入力シート!$B$14=1,EI9*管理者用人口入力シート!AV$3,IF(管理者入力シート!$B$14=2,EI9*管理者用人口入力シート!AV$7))</f>
        <v>187.78911928237082</v>
      </c>
      <c r="EK12" s="9">
        <f>IF(管理者入力シート!$B$14=1,EJ9*管理者用人口入力シート!AW$3,IF(管理者入力シート!$B$14=2,EJ9*管理者用人口入力シート!AW$7))</f>
        <v>157.04945292694873</v>
      </c>
      <c r="EL12" s="9">
        <f>IF(管理者入力シート!$B$14=1,EK9*管理者用人口入力シート!AX$3,IF(管理者入力シート!$B$14=2,EK9*管理者用人口入力シート!AX$7))</f>
        <v>141.73644340318191</v>
      </c>
      <c r="EM12" s="9">
        <f>IF(管理者入力シート!$B$14=1,EL9*管理者用人口入力シート!AY$3,IF(管理者入力シート!$B$14=2,EL9*管理者用人口入力シート!AY$7))</f>
        <v>134.7736120519786</v>
      </c>
      <c r="EN12" s="9">
        <f>IF(管理者入力シート!$B$14=1,EM9*管理者用人口入力シート!AZ$3,IF(管理者入力シート!$B$14=2,EM9*管理者用人口入力シート!AZ$7))</f>
        <v>121.59659104797578</v>
      </c>
      <c r="EO12" s="9">
        <f>IF(管理者入力シート!$B$14=1,EN9*管理者用人口入力シート!BA$3,IF(管理者入力シート!$B$14=2,EN9*管理者用人口入力シート!BA$7))</f>
        <v>121.38803810866099</v>
      </c>
      <c r="EP12" s="9">
        <f>IF(管理者入力シート!$B$14=1,EO9*管理者用人口入力シート!BB$3,IF(管理者入力シート!$B$14=2,EO9*管理者用人口入力シート!BB$7))</f>
        <v>144.46748254131236</v>
      </c>
      <c r="EQ12" s="9">
        <f>IF(管理者入力シート!$B$14=1,EP9*管理者用人口入力シート!BC$3,IF(管理者入力シート!$B$14=2,EP9*管理者用人口入力シート!BC$7))</f>
        <v>124.21194311546819</v>
      </c>
      <c r="ER12" s="9">
        <f>IF(管理者入力シート!$B$14=1,EQ9*管理者用人口入力シート!BD$3,IF(管理者入力シート!$B$14=2,EQ9*管理者用人口入力シート!BD$7))</f>
        <v>59.184118654118123</v>
      </c>
      <c r="ES12" s="9">
        <f>IF(管理者入力シート!$B$14=1,ER9*管理者用人口入力シート!BE$3,IF(管理者入力シート!$B$14=2,ER9*管理者用人口入力シート!BE$7))</f>
        <v>9.8742605684252212</v>
      </c>
      <c r="ET12" s="9">
        <f>IF(管理者入力シート!$B$14=1,ES9*管理者用人口入力シート!BF$3,IF(管理者入力シート!$B$14=2,ES9*管理者用人口入力シート!BF$7))</f>
        <v>2.0483376191240041</v>
      </c>
      <c r="EU12" s="9">
        <f t="shared" si="71"/>
        <v>2698.38949359344</v>
      </c>
      <c r="EV12" s="9">
        <f t="shared" si="41"/>
        <v>169.29314307585577</v>
      </c>
      <c r="EW12" s="9">
        <f t="shared" si="42"/>
        <v>70.621923355574282</v>
      </c>
      <c r="EX12" s="9">
        <f t="shared" si="10"/>
        <v>717.54438370706339</v>
      </c>
      <c r="EY12" s="9">
        <f t="shared" si="43"/>
        <v>461.17418060710889</v>
      </c>
      <c r="EZ12" s="13">
        <f t="shared" si="44"/>
        <v>0.26591579362826195</v>
      </c>
      <c r="FA12" s="13">
        <f t="shared" si="45"/>
        <v>0.17090719545937905</v>
      </c>
      <c r="FB12" s="9">
        <f t="shared" si="72"/>
        <v>578.56290832713501</v>
      </c>
    </row>
    <row r="13" spans="1:158" x14ac:dyDescent="0.15">
      <c r="A13" s="7" t="str">
        <f t="shared" si="11"/>
        <v>2020_2</v>
      </c>
      <c r="B13" s="29">
        <v>2020</v>
      </c>
      <c r="C13" s="4" t="s">
        <v>22</v>
      </c>
      <c r="D13" s="10">
        <v>85.719003984063747</v>
      </c>
      <c r="E13" s="10">
        <v>117.30653386454183</v>
      </c>
      <c r="F13" s="10">
        <v>132.01649402390439</v>
      </c>
      <c r="G13" s="10">
        <v>104.52254980079681</v>
      </c>
      <c r="H13" s="10">
        <v>69.52661354581673</v>
      </c>
      <c r="I13" s="10">
        <v>89.480597609561755</v>
      </c>
      <c r="J13" s="10">
        <v>117.87693227091634</v>
      </c>
      <c r="K13" s="10">
        <v>155.0236653386454</v>
      </c>
      <c r="L13" s="10">
        <v>168.56641434262949</v>
      </c>
      <c r="M13" s="10">
        <v>150.40756972111555</v>
      </c>
      <c r="N13" s="10">
        <v>151.73800796812748</v>
      </c>
      <c r="O13" s="10">
        <v>171.46039840637451</v>
      </c>
      <c r="P13" s="10">
        <v>242.27669322709164</v>
      </c>
      <c r="Q13" s="10">
        <v>273.71346613545813</v>
      </c>
      <c r="R13" s="10">
        <v>241.23784860557771</v>
      </c>
      <c r="S13" s="10">
        <v>175.04760956175301</v>
      </c>
      <c r="T13" s="10">
        <v>182.88844621513945</v>
      </c>
      <c r="U13" s="10">
        <v>192.22414342629483</v>
      </c>
      <c r="V13" s="10">
        <v>116.66585657370518</v>
      </c>
      <c r="W13" s="10">
        <v>54.71836653386454</v>
      </c>
      <c r="X13" s="10">
        <v>9.5927888446215128</v>
      </c>
      <c r="Y13" s="10">
        <f t="shared" si="177"/>
        <v>3002.0099999999998</v>
      </c>
      <c r="Z13" s="10">
        <f t="shared" ref="Z13:Z14" si="179">E13*3/5+F13*3/5</f>
        <v>149.59381673306774</v>
      </c>
      <c r="AA13" s="10">
        <f t="shared" ref="AA13:AA14" si="180">F13*2/5+G13*1/5</f>
        <v>73.711107569721122</v>
      </c>
      <c r="AB13" s="10">
        <f t="shared" si="178"/>
        <v>1246.0885258964145</v>
      </c>
      <c r="AC13" s="10">
        <f t="shared" ref="AC13:AC14" si="181">SUM(S13:X13)</f>
        <v>731.13721115537851</v>
      </c>
      <c r="AD13" s="14">
        <f t="shared" ref="AD13:AD14" si="182">AB13/Y13</f>
        <v>0.4150847351928923</v>
      </c>
      <c r="AE13" s="14">
        <f t="shared" ref="AE13:AE14" si="183">AC13/Y13</f>
        <v>0.24354922573721557</v>
      </c>
      <c r="AF13" s="10">
        <f t="shared" ref="AF13:AF14" si="184">SUM(H13:K13)</f>
        <v>431.90780876494023</v>
      </c>
      <c r="AI13" s="60" t="s">
        <v>47</v>
      </c>
      <c r="AJ13" s="1" t="s">
        <v>21</v>
      </c>
      <c r="AK13" s="8">
        <f>VLOOKUP(AK12&amp;"_1",A:D,4,FALSE)/VLOOKUP(AK12&amp;"_2",A:AF,32,FALSE)</f>
        <v>0.21219566211237464</v>
      </c>
      <c r="AL13" s="63"/>
      <c r="BH13" s="7" t="str">
        <f t="shared" si="19"/>
        <v>2040_2</v>
      </c>
      <c r="BI13" s="29">
        <f>BI12</f>
        <v>2040</v>
      </c>
      <c r="BJ13" s="4" t="s">
        <v>22</v>
      </c>
      <c r="BK13" s="10">
        <f>CM13*$AK$14</f>
        <v>52.824027650408553</v>
      </c>
      <c r="BL13" s="10">
        <f>IF(管理者入力シート!$B$14=1,BK10*管理者用人口入力シート!AM$4,IF(管理者入力シート!$B$14=2,BK10*管理者用人口入力シート!AM$8))</f>
        <v>61.43029979558321</v>
      </c>
      <c r="BM13" s="10">
        <f>IF(管理者入力シート!$B$14=1,BL10*管理者用人口入力シート!AN$4,IF(管理者入力シート!$B$14=2,BL10*管理者用人口入力シート!AN$8))</f>
        <v>71.243638288945846</v>
      </c>
      <c r="BN13" s="10">
        <f>IF(管理者入力シート!$B$14=1,BM10*管理者用人口入力シート!AO$4,IF(管理者入力シート!$B$14=2,BM10*管理者用人口入力シート!AO$8))</f>
        <v>73.872258491753882</v>
      </c>
      <c r="BO13" s="10">
        <f>IF(管理者入力シート!$B$14=1,BN10*管理者用人口入力シート!AP$4,IF(管理者入力シート!$B$14=2,BN10*管理者用人口入力シート!AP$8))</f>
        <v>66.248650923716355</v>
      </c>
      <c r="BP13" s="10">
        <f>IF(管理者入力シート!$B$14=1,BO10*管理者用人口入力シート!AQ$4,IF(管理者入力シート!$B$14=2,BO10*管理者用人口入力シート!AQ$8))</f>
        <v>69.104962535946427</v>
      </c>
      <c r="BQ13" s="10">
        <f>IF(管理者入力シート!$B$14=1,BP10*管理者用人口入力シート!AR$4,IF(管理者入力シート!$B$14=2,BP10*管理者用人口入力シート!AR$8))</f>
        <v>66.648197652881166</v>
      </c>
      <c r="BR13" s="10">
        <f>IF(管理者入力シート!$B$14=1,BQ10*管理者用人口入力シート!AS$4,IF(管理者入力シート!$B$14=2,BQ10*管理者用人口入力シート!AS$8))</f>
        <v>64.15982134025721</v>
      </c>
      <c r="BS13" s="10">
        <f>IF(管理者入力シート!$B$14=1,BR10*管理者用人口入力シート!AT$4,IF(管理者入力シート!$B$14=2,BR10*管理者用人口入力シート!AT$8))</f>
        <v>60.458273057128892</v>
      </c>
      <c r="BT13" s="10">
        <f>IF(管理者入力シート!$B$14=1,BS10*管理者用人口入力シート!AU$4,IF(管理者入力シート!$B$14=2,BS10*管理者用人口入力シート!AU$8))</f>
        <v>91.848694099980264</v>
      </c>
      <c r="BU13" s="10">
        <f>IF(管理者入力シート!$B$14=1,BT10*管理者用人口入力シート!AV$4,IF(管理者入力シート!$B$14=2,BT10*管理者用人口入力シート!AV$8))</f>
        <v>125.19127920091459</v>
      </c>
      <c r="BV13" s="10">
        <f>IF(管理者入力シート!$B$14=1,BU10*管理者用人口入力シート!AW$4,IF(管理者入力シート!$B$14=2,BU10*管理者用人口入力シート!AW$8))</f>
        <v>153.71036448462056</v>
      </c>
      <c r="BW13" s="10">
        <f>IF(管理者入力シート!$B$14=1,BV10*管理者用人口入力シート!AX$4,IF(管理者入力シート!$B$14=2,BV10*管理者用人口入力シート!AX$8))</f>
        <v>162.27455212452213</v>
      </c>
      <c r="BX13" s="10">
        <f>IF(管理者入力シート!$B$14=1,BW10*管理者用人口入力シート!AY$4,IF(管理者入力シート!$B$14=2,BW10*管理者用人口入力シート!AY$8))</f>
        <v>139.86885604492906</v>
      </c>
      <c r="BY13" s="10">
        <f>IF(管理者入力シート!$B$14=1,BX10*管理者用人口入力シート!AZ$4,IF(管理者入力シート!$B$14=2,BX10*管理者用人口入力シート!AZ$8))</f>
        <v>143.12484690080069</v>
      </c>
      <c r="BZ13" s="10">
        <f>IF(管理者入力シート!$B$14=1,BY10*管理者用人口入力シート!BA$4,IF(管理者入力シート!$B$14=2,BY10*管理者用人口入力シート!BA$8))</f>
        <v>155.75130301900896</v>
      </c>
      <c r="CA13" s="10">
        <f>IF(管理者入力シート!$B$14=1,BZ10*管理者用人口入力シート!BB$4,IF(管理者入力シート!$B$14=2,BZ10*管理者用人口入力シート!BB$8))</f>
        <v>223.06295497370687</v>
      </c>
      <c r="CB13" s="10">
        <f>IF(管理者入力シート!$B$14=1,CA10*管理者用人口入力シート!BC$4,IF(管理者入力シート!$B$14=2,CA10*管理者用人口入力シート!BC$8))</f>
        <v>252.18906544328982</v>
      </c>
      <c r="CC13" s="10">
        <f>IF(管理者入力シート!$B$14=1,CB10*管理者用人口入力シート!BD$4,IF(管理者入力シート!$B$14=2,CB10*管理者用人口入力シート!BD$8))</f>
        <v>160.49893499456857</v>
      </c>
      <c r="CD13" s="10">
        <f>IF(管理者入力シート!$B$14=1,CC10*管理者用人口入力シート!BE$4,IF(管理者入力シート!$B$14=2,CC10*管理者用人口入力シート!BE$8))</f>
        <v>57.38623886752417</v>
      </c>
      <c r="CE13" s="10">
        <f>IF(管理者入力シート!$B$14=1,CD10*管理者用人口入力シート!BF$4,IF(管理者入力シート!$B$14=2,CD10*管理者用人口入力シート!BF$8))</f>
        <v>12.4583641643645</v>
      </c>
      <c r="CF13" s="10">
        <f t="shared" si="2"/>
        <v>2263.3555840548515</v>
      </c>
      <c r="CG13" s="10">
        <f t="shared" si="20"/>
        <v>79.604362850717436</v>
      </c>
      <c r="CH13" s="10">
        <f t="shared" si="21"/>
        <v>43.271907013929116</v>
      </c>
      <c r="CI13" s="10">
        <f t="shared" si="3"/>
        <v>1144.3405644081924</v>
      </c>
      <c r="CJ13" s="10">
        <f t="shared" si="22"/>
        <v>861.34686146246293</v>
      </c>
      <c r="CK13" s="14">
        <f t="shared" si="23"/>
        <v>0.5055946897915532</v>
      </c>
      <c r="CL13" s="14">
        <f t="shared" si="24"/>
        <v>0.38056188233549276</v>
      </c>
      <c r="CM13" s="10">
        <f t="shared" si="25"/>
        <v>266.16163245280114</v>
      </c>
      <c r="CO13" s="7" t="str">
        <f t="shared" si="26"/>
        <v>2040_2</v>
      </c>
      <c r="CP13" s="29">
        <f>CP12</f>
        <v>2040</v>
      </c>
      <c r="CQ13" s="4" t="s">
        <v>22</v>
      </c>
      <c r="CR13" s="10">
        <f>DT13*$AK$14+将来予測シート②!$H17</f>
        <v>55.213129523101415</v>
      </c>
      <c r="CS13" s="10">
        <f>IF(管理者入力シート!$B$14=1,CR10*管理者用人口入力シート!AM$4,IF(管理者入力シート!$B$14=2,CR10*管理者用人口入力シート!AM$8))+将来予測シート②!$H18</f>
        <v>64.031658004993801</v>
      </c>
      <c r="CT13" s="10">
        <f>IF(管理者入力シート!$B$14=1,CS10*管理者用人口入力シート!AN$4,IF(管理者入力シート!$B$14=2,CS10*管理者用人口入力シート!AN$8))+将来予測シート②!$H19</f>
        <v>74.409805032713891</v>
      </c>
      <c r="CU13" s="10">
        <f>IF(管理者入力シート!$B$14=1,CT10*管理者用人口入力シート!AO$4,IF(管理者入力シート!$B$14=2,CT10*管理者用人口入力シート!AO$8))+将来予測シート②!$H20</f>
        <v>75.835397690371224</v>
      </c>
      <c r="CV13" s="10">
        <f>IF(管理者入力シート!$B$14=1,CU10*管理者用人口入力シート!AP$4,IF(管理者入力シート!$B$14=2,CU10*管理者用人口入力シート!AP$8))+将来予測シート②!$H21</f>
        <v>66.877765895334903</v>
      </c>
      <c r="CW13" s="10">
        <f>IF(管理者入力シート!$B$14=1,CV10*管理者用人口入力シート!AQ$4,IF(管理者入力シート!$B$14=2,CV10*管理者用人口入力シート!AQ$8))+将来予測シート②!$H22</f>
        <v>71.651952065166611</v>
      </c>
      <c r="CX13" s="10">
        <f>IF(管理者入力シート!$B$14=1,CW10*管理者用人口入力シート!AR$4,IF(管理者入力シート!$B$14=2,CW10*管理者用人口入力シート!AR$8))+将来予測シート②!$H23</f>
        <v>68.494110520416996</v>
      </c>
      <c r="CY13" s="10">
        <f>IF(管理者入力シート!$B$14=1,CX10*管理者用人口入力シート!AS$4,IF(管理者入力シート!$B$14=2,CX10*管理者用人口入力シート!AS$8))+将来予測シート②!$H24</f>
        <v>66.136998060717232</v>
      </c>
      <c r="CZ13" s="10">
        <f>IF(管理者入力シート!$B$14=1,CY10*管理者用人口入力シート!AT$4,IF(管理者入力シート!$B$14=2,CY10*管理者用人口入力シート!AT$8))+将来予測シート②!$H25</f>
        <v>63.45852943811704</v>
      </c>
      <c r="DA13" s="10">
        <f>IF(管理者入力シート!$B$14=1,CZ10*管理者用人口入力シート!AU$4,IF(管理者入力シート!$B$14=2,CZ10*管理者用人口入力シート!AU$8))+将来予測シート②!$H26</f>
        <v>92.875027449701065</v>
      </c>
      <c r="DB13" s="10">
        <f>IF(管理者入力シート!$B$14=1,DA10*管理者用人口入力シート!AV$4,IF(管理者入力シート!$B$14=2,DA10*管理者用人口入力シート!AV$8))+将来予測シート②!$H27</f>
        <v>126.17138009386865</v>
      </c>
      <c r="DC13" s="10">
        <f>IF(管理者入力シート!$B$14=1,DB10*管理者用人口入力シート!AW$4,IF(管理者入力シート!$B$14=2,DB10*管理者用人口入力シート!AW$8))+将来予測シート②!$H28</f>
        <v>154.69045226664275</v>
      </c>
      <c r="DD13" s="10">
        <f>IF(管理者入力シート!$B$14=1,DC10*管理者用人口入力シート!AX$4,IF(管理者入力シート!$B$14=2,DC10*管理者用人口入力シート!AX$8))+将来予測シート②!$H29</f>
        <v>162.27455212452213</v>
      </c>
      <c r="DE13" s="10">
        <f>IF(管理者入力シート!$B$14=1,DD10*管理者用人口入力シート!AY$4,IF(管理者入力シート!$B$14=2,DD10*管理者用人口入力シート!AY$8))</f>
        <v>139.86885604492906</v>
      </c>
      <c r="DF13" s="10">
        <f>IF(管理者入力シート!$B$14=1,DE10*管理者用人口入力シート!AZ$4,IF(管理者入力シート!$B$14=2,DE10*管理者用人口入力シート!AZ$8))</f>
        <v>143.12484690080069</v>
      </c>
      <c r="DG13" s="10">
        <f>IF(管理者入力シート!$B$14=1,DF10*管理者用人口入力シート!BA$4,IF(管理者入力シート!$B$14=2,DF10*管理者用人口入力シート!BA$8))</f>
        <v>155.75130301900896</v>
      </c>
      <c r="DH13" s="10">
        <f>IF(管理者入力シート!$B$14=1,DG10*管理者用人口入力シート!BB$4,IF(管理者入力シート!$B$14=2,DG10*管理者用人口入力シート!BB$8))</f>
        <v>223.06295497370687</v>
      </c>
      <c r="DI13" s="10">
        <f>IF(管理者入力シート!$B$14=1,DH10*管理者用人口入力シート!BC$4,IF(管理者入力シート!$B$14=2,DH10*管理者用人口入力シート!BC$8))</f>
        <v>252.18906544328982</v>
      </c>
      <c r="DJ13" s="10">
        <f>IF(管理者入力シート!$B$14=1,DI10*管理者用人口入力シート!BD$4,IF(管理者入力シート!$B$14=2,DI10*管理者用人口入力シート!BD$8))</f>
        <v>160.49893499456857</v>
      </c>
      <c r="DK13" s="10">
        <f>IF(管理者入力シート!$B$14=1,DJ10*管理者用人口入力シート!BE$4,IF(管理者入力シート!$B$14=2,DJ10*管理者用人口入力シート!BE$8))</f>
        <v>57.38623886752417</v>
      </c>
      <c r="DL13" s="10">
        <f>IF(管理者入力シート!$B$14=1,DK10*管理者用人口入力シート!BF$4,IF(管理者入力シート!$B$14=2,DK10*管理者用人口入力シート!BF$8))</f>
        <v>12.4583641643645</v>
      </c>
      <c r="DM13" s="10">
        <f t="shared" si="69"/>
        <v>2286.4613225738603</v>
      </c>
      <c r="DN13" s="10">
        <f t="shared" si="34"/>
        <v>83.064877822624609</v>
      </c>
      <c r="DO13" s="10">
        <f t="shared" si="35"/>
        <v>44.931001551159795</v>
      </c>
      <c r="DP13" s="10">
        <f t="shared" si="6"/>
        <v>1144.3405644081924</v>
      </c>
      <c r="DQ13" s="10">
        <f t="shared" si="36"/>
        <v>861.34686146246293</v>
      </c>
      <c r="DR13" s="14">
        <f t="shared" si="37"/>
        <v>0.50048542396510465</v>
      </c>
      <c r="DS13" s="14">
        <f t="shared" si="38"/>
        <v>0.37671613027455381</v>
      </c>
      <c r="DT13" s="10">
        <f t="shared" si="70"/>
        <v>273.16082654163574</v>
      </c>
      <c r="DV13" s="62"/>
      <c r="DX13" s="29">
        <f>DX12</f>
        <v>2040</v>
      </c>
      <c r="DY13" s="4" t="s">
        <v>22</v>
      </c>
      <c r="DZ13" s="10">
        <f>FB13*$AK$14</f>
        <v>112.1917035336962</v>
      </c>
      <c r="EA13" s="10">
        <f>IF(管理者入力シート!$B$14=1,DZ10*管理者用人口入力シート!AM$4,IF(管理者入力シート!$B$14=2,DZ10*管理者用人口入力シート!AM$8))</f>
        <v>129.14951700355144</v>
      </c>
      <c r="EB13" s="10">
        <f>IF(管理者入力シート!$B$14=1,EA10*管理者用人口入力シート!AN$4,IF(管理者入力シート!$B$14=2,EA10*管理者用人口入力シート!AN$8))</f>
        <v>132.12443516843842</v>
      </c>
      <c r="EC13" s="10">
        <f>IF(管理者入力シート!$B$14=1,EB10*管理者用人口入力シート!AO$4,IF(管理者入力シート!$B$14=2,EB10*管理者用人口入力シート!AO$8))</f>
        <v>73.872258491753882</v>
      </c>
      <c r="ED13" s="10">
        <f>IF(管理者入力シート!$B$14=1,EC10*管理者用人口入力シート!AP$4,IF(管理者入力シート!$B$14=2,EC10*管理者用人口入力シート!AP$8))</f>
        <v>66.248650923716355</v>
      </c>
      <c r="EE13" s="10">
        <f>IF(管理者入力シート!$B$14=1,ED10*管理者用人口入力シート!AQ$4,IF(管理者入力シート!$B$14=2,ED10*管理者用人口入力シート!AQ$8))+DX1</f>
        <v>119.10496253594643</v>
      </c>
      <c r="EF13" s="10">
        <f>IF(管理者入力シート!$B$14=1,EE10*管理者用人口入力シート!AR$4,IF(管理者入力シート!$B$14=2,EE10*管理者用人口入力シート!AR$8))+DX1</f>
        <v>162.79601934127697</v>
      </c>
      <c r="EG13" s="10">
        <f>IF(管理者入力シート!$B$14=1,EF10*管理者用人口入力シート!AS$4,IF(管理者入力シート!$B$14=2,EF10*管理者用人口入力シート!AS$8))+DX1</f>
        <v>217.14476613833398</v>
      </c>
      <c r="EH13" s="10">
        <f>IF(管理者入力シート!$B$14=1,EG10*管理者用人口入力シート!AT$4,IF(管理者入力シート!$B$14=2,EG10*管理者用人口入力シート!AT$8))</f>
        <v>215.22901704822542</v>
      </c>
      <c r="EI13" s="10">
        <f>IF(管理者入力シート!$B$14=1,EH10*管理者用人口入力シート!AU$4,IF(管理者入力シート!$B$14=2,EH10*管理者用人口入力シート!AU$8))</f>
        <v>199.37182442414411</v>
      </c>
      <c r="EJ13" s="10">
        <f>IF(管理者入力シート!$B$14=1,EI10*管理者用人口入力シート!AV$4,IF(管理者入力シート!$B$14=2,EI10*管理者用人口入力シート!AV$8))</f>
        <v>174.7683616350898</v>
      </c>
      <c r="EK13" s="10">
        <f>IF(管理者入力シート!$B$14=1,EJ10*管理者用人口入力シート!AW$4,IF(管理者入力シート!$B$14=2,EJ10*管理者用人口入力シート!AW$8))</f>
        <v>153.71036448462056</v>
      </c>
      <c r="EL13" s="10">
        <f>IF(管理者入力シート!$B$14=1,EK10*管理者用人口入力シート!AX$4,IF(管理者入力シート!$B$14=2,EK10*管理者用人口入力シート!AX$8))</f>
        <v>162.27455212452213</v>
      </c>
      <c r="EM13" s="10">
        <f>IF(管理者入力シート!$B$14=1,EL10*管理者用人口入力シート!AY$4,IF(管理者入力シート!$B$14=2,EL10*管理者用人口入力シート!AY$8))</f>
        <v>139.86885604492906</v>
      </c>
      <c r="EN13" s="10">
        <f>IF(管理者入力シート!$B$14=1,EM10*管理者用人口入力シート!AZ$4,IF(管理者入力シート!$B$14=2,EM10*管理者用人口入力シート!AZ$8))</f>
        <v>143.12484690080069</v>
      </c>
      <c r="EO13" s="10">
        <f>IF(管理者入力シート!$B$14=1,EN10*管理者用人口入力シート!BA$4,IF(管理者入力シート!$B$14=2,EN10*管理者用人口入力シート!BA$8))</f>
        <v>155.75130301900896</v>
      </c>
      <c r="EP13" s="10">
        <f>IF(管理者入力シート!$B$14=1,EO10*管理者用人口入力シート!BB$4,IF(管理者入力シート!$B$14=2,EO10*管理者用人口入力シート!BB$8))</f>
        <v>223.06295497370687</v>
      </c>
      <c r="EQ13" s="10">
        <f>IF(管理者入力シート!$B$14=1,EP10*管理者用人口入力シート!BC$4,IF(管理者入力シート!$B$14=2,EP10*管理者用人口入力シート!BC$8))</f>
        <v>252.18906544328982</v>
      </c>
      <c r="ER13" s="10">
        <f>IF(管理者入力シート!$B$14=1,EQ10*管理者用人口入力シート!BD$4,IF(管理者入力シート!$B$14=2,EQ10*管理者用人口入力シート!BD$8))</f>
        <v>160.49893499456857</v>
      </c>
      <c r="ES13" s="10">
        <f>IF(管理者入力シート!$B$14=1,ER10*管理者用人口入力シート!BE$4,IF(管理者入力シート!$B$14=2,ER10*管理者用人口入力シート!BE$8))</f>
        <v>57.38623886752417</v>
      </c>
      <c r="ET13" s="10">
        <f>IF(管理者入力シート!$B$14=1,ES10*管理者用人口入力シート!BF$4,IF(管理者入力シート!$B$14=2,ES10*管理者用人口入力シート!BF$8))</f>
        <v>12.4583641643645</v>
      </c>
      <c r="EU13" s="10">
        <f t="shared" si="71"/>
        <v>3062.3269972615085</v>
      </c>
      <c r="EV13" s="10">
        <f t="shared" si="41"/>
        <v>156.76437130319391</v>
      </c>
      <c r="EW13" s="10">
        <f t="shared" si="42"/>
        <v>67.624225765726152</v>
      </c>
      <c r="EX13" s="10">
        <f t="shared" si="10"/>
        <v>1144.3405644081924</v>
      </c>
      <c r="EY13" s="10">
        <f t="shared" si="43"/>
        <v>861.34686146246293</v>
      </c>
      <c r="EZ13" s="14">
        <f t="shared" si="44"/>
        <v>0.373683334742345</v>
      </c>
      <c r="FA13" s="14">
        <f t="shared" si="45"/>
        <v>0.28127200727836182</v>
      </c>
      <c r="FB13" s="10">
        <f t="shared" si="72"/>
        <v>565.29439893927372</v>
      </c>
    </row>
    <row r="14" spans="1:158" x14ac:dyDescent="0.15">
      <c r="A14" s="7" t="str">
        <f t="shared" si="11"/>
        <v>2020_3</v>
      </c>
      <c r="B14" s="30">
        <v>2020</v>
      </c>
      <c r="C14" s="5" t="s">
        <v>23</v>
      </c>
      <c r="D14" s="11">
        <v>177.36796743644513</v>
      </c>
      <c r="E14" s="11">
        <v>244.82706478488171</v>
      </c>
      <c r="F14" s="11">
        <v>248.78664485998809</v>
      </c>
      <c r="G14" s="11">
        <v>228.74861903324103</v>
      </c>
      <c r="H14" s="11">
        <v>146.28143277376199</v>
      </c>
      <c r="I14" s="11">
        <v>182.14791515490211</v>
      </c>
      <c r="J14" s="11">
        <v>242.02457772176447</v>
      </c>
      <c r="K14" s="11">
        <v>310.4647894492042</v>
      </c>
      <c r="L14" s="11">
        <v>309.21295893795855</v>
      </c>
      <c r="M14" s="11">
        <v>297.55522426882771</v>
      </c>
      <c r="N14" s="11">
        <v>294.87113416709599</v>
      </c>
      <c r="O14" s="11">
        <v>330.27191438392299</v>
      </c>
      <c r="P14" s="11">
        <v>469.93297658225987</v>
      </c>
      <c r="Q14" s="11">
        <v>520.11784402602939</v>
      </c>
      <c r="R14" s="11">
        <v>476.46290653847507</v>
      </c>
      <c r="S14" s="11">
        <v>298.99986651532032</v>
      </c>
      <c r="T14" s="11">
        <v>291.37135223580583</v>
      </c>
      <c r="U14" s="11">
        <v>283.44462047628349</v>
      </c>
      <c r="V14" s="11">
        <v>151.83104443159615</v>
      </c>
      <c r="W14" s="11">
        <v>58.844409155057086</v>
      </c>
      <c r="X14" s="11">
        <v>10.754737067178857</v>
      </c>
      <c r="Y14" s="11">
        <f t="shared" si="177"/>
        <v>5574.3200000000006</v>
      </c>
      <c r="Z14" s="11">
        <f t="shared" si="179"/>
        <v>296.16822578692188</v>
      </c>
      <c r="AA14" s="11">
        <f t="shared" si="180"/>
        <v>145.26438175064345</v>
      </c>
      <c r="AB14" s="11">
        <f t="shared" si="178"/>
        <v>2091.8267804457464</v>
      </c>
      <c r="AC14" s="11">
        <f t="shared" si="181"/>
        <v>1095.2460298812418</v>
      </c>
      <c r="AD14" s="15">
        <f t="shared" si="182"/>
        <v>0.37526133778572923</v>
      </c>
      <c r="AE14" s="15">
        <f t="shared" si="183"/>
        <v>0.19648065232732273</v>
      </c>
      <c r="AF14" s="11">
        <f t="shared" si="184"/>
        <v>880.91871509963278</v>
      </c>
      <c r="AI14" s="43"/>
      <c r="AJ14" s="1" t="s">
        <v>22</v>
      </c>
      <c r="AK14" s="8">
        <f>VLOOKUP(AK12&amp;"_2",A:D,4,FALSE)/VLOOKUP(AK12&amp;"_2",A:AF,32,FALSE)</f>
        <v>0.19846597409104755</v>
      </c>
      <c r="AL14" s="63"/>
      <c r="BH14" s="7" t="str">
        <f t="shared" si="19"/>
        <v>2040_3</v>
      </c>
      <c r="BI14" s="30">
        <f>BI13</f>
        <v>2040</v>
      </c>
      <c r="BJ14" s="5" t="s">
        <v>23</v>
      </c>
      <c r="BK14" s="16">
        <f>BK12+BK13</f>
        <v>109.3023714776412</v>
      </c>
      <c r="BL14" s="16">
        <f t="shared" ref="BL14" si="185">BL12+BL13</f>
        <v>129.31185480414462</v>
      </c>
      <c r="BM14" s="16">
        <f t="shared" ref="BM14" si="186">BM12+BM13</f>
        <v>146.43343859521804</v>
      </c>
      <c r="BN14" s="16">
        <f t="shared" ref="BN14" si="187">BN12+BN13</f>
        <v>148.09634571251644</v>
      </c>
      <c r="BO14" s="16">
        <f t="shared" ref="BO14" si="188">BO12+BO13</f>
        <v>128.19939247845639</v>
      </c>
      <c r="BP14" s="16">
        <f t="shared" ref="BP14" si="189">BP12+BP13</f>
        <v>136.58245525229125</v>
      </c>
      <c r="BQ14" s="16">
        <f t="shared" ref="BQ14" si="190">BQ12+BQ13</f>
        <v>128.33471044262939</v>
      </c>
      <c r="BR14" s="16">
        <f t="shared" ref="BR14" si="191">BR12+BR13</f>
        <v>145.24456650583693</v>
      </c>
      <c r="BS14" s="16">
        <f t="shared" ref="BS14" si="192">BS12+BS13</f>
        <v>136.39137701777057</v>
      </c>
      <c r="BT14" s="16">
        <f t="shared" ref="BT14" si="193">BT12+BT13</f>
        <v>193.83232339797115</v>
      </c>
      <c r="BU14" s="16">
        <f t="shared" ref="BU14" si="194">BU12+BU13</f>
        <v>260.4215886594435</v>
      </c>
      <c r="BV14" s="16">
        <f t="shared" ref="BV14" si="195">BV12+BV13</f>
        <v>310.75981741156932</v>
      </c>
      <c r="BW14" s="16">
        <f t="shared" ref="BW14" si="196">BW12+BW13</f>
        <v>304.01099552770404</v>
      </c>
      <c r="BX14" s="16">
        <f t="shared" ref="BX14" si="197">BX12+BX13</f>
        <v>274.64246809690769</v>
      </c>
      <c r="BY14" s="16">
        <f t="shared" ref="BY14" si="198">BY12+BY13</f>
        <v>264.7214379487765</v>
      </c>
      <c r="BZ14" s="16">
        <f t="shared" ref="BZ14" si="199">BZ12+BZ13</f>
        <v>277.13934112766992</v>
      </c>
      <c r="CA14" s="16">
        <f t="shared" ref="CA14" si="200">CA12+CA13</f>
        <v>367.53043751501923</v>
      </c>
      <c r="CB14" s="16">
        <f t="shared" ref="CB14" si="201">CB12+CB13</f>
        <v>376.40100855875801</v>
      </c>
      <c r="CC14" s="16">
        <f t="shared" ref="CC14" si="202">CC12+CC13</f>
        <v>219.68305364868669</v>
      </c>
      <c r="CD14" s="16">
        <f t="shared" ref="CD14" si="203">CD12+CD13</f>
        <v>67.260499435949384</v>
      </c>
      <c r="CE14" s="16">
        <f t="shared" ref="CE14" si="204">CE12+CE13</f>
        <v>14.506701783488504</v>
      </c>
      <c r="CF14" s="11">
        <f t="shared" si="2"/>
        <v>4138.8061853984473</v>
      </c>
      <c r="CG14" s="11">
        <f t="shared" si="20"/>
        <v>165.4471760396176</v>
      </c>
      <c r="CH14" s="11">
        <f t="shared" si="21"/>
        <v>88.192644580590496</v>
      </c>
      <c r="CI14" s="11">
        <f t="shared" si="3"/>
        <v>1861.8849481152558</v>
      </c>
      <c r="CJ14" s="11">
        <f t="shared" si="22"/>
        <v>1322.5210420695719</v>
      </c>
      <c r="CK14" s="15">
        <f t="shared" si="23"/>
        <v>0.44986038599340938</v>
      </c>
      <c r="CL14" s="15">
        <f t="shared" si="24"/>
        <v>0.31954167043032272</v>
      </c>
      <c r="CM14" s="11">
        <f t="shared" si="25"/>
        <v>538.36112467921396</v>
      </c>
      <c r="CO14" s="7" t="str">
        <f t="shared" si="26"/>
        <v>2040_3</v>
      </c>
      <c r="CP14" s="30">
        <f>CP13</f>
        <v>2040</v>
      </c>
      <c r="CQ14" s="5" t="s">
        <v>23</v>
      </c>
      <c r="CR14" s="16">
        <f>CR12+CR13</f>
        <v>114.17667197426734</v>
      </c>
      <c r="CS14" s="16">
        <f t="shared" ref="CS14" si="205">CS12+CS13</f>
        <v>134.70620343912418</v>
      </c>
      <c r="CT14" s="16">
        <f t="shared" ref="CT14" si="206">CT12+CT13</f>
        <v>152.80186599034698</v>
      </c>
      <c r="CU14" s="16">
        <f t="shared" ref="CU14" si="207">CU12+CU13</f>
        <v>151.91516448744926</v>
      </c>
      <c r="CV14" s="16">
        <f t="shared" ref="CV14" si="208">CV12+CV13</f>
        <v>129.38593271600024</v>
      </c>
      <c r="CW14" s="16">
        <f t="shared" ref="CW14" si="209">CW12+CW13</f>
        <v>141.64387575671486</v>
      </c>
      <c r="CX14" s="16">
        <f t="shared" ref="CX14" si="210">CX12+CX13</f>
        <v>132.23443803658557</v>
      </c>
      <c r="CY14" s="16">
        <f t="shared" ref="CY14" si="211">CY12+CY13</f>
        <v>149.34998665087977</v>
      </c>
      <c r="CZ14" s="16">
        <f t="shared" ref="CZ14" si="212">CZ12+CZ13</f>
        <v>141.53558528396357</v>
      </c>
      <c r="DA14" s="16">
        <f t="shared" ref="DA14" si="213">DA12+DA13</f>
        <v>194.85865674769195</v>
      </c>
      <c r="DB14" s="16">
        <f t="shared" ref="DB14" si="214">DB12+DB13</f>
        <v>261.40168955239756</v>
      </c>
      <c r="DC14" s="16">
        <f t="shared" ref="DC14" si="215">DC12+DC13</f>
        <v>311.73990519359148</v>
      </c>
      <c r="DD14" s="16">
        <f t="shared" ref="DD14" si="216">DD12+DD13</f>
        <v>304.01099552770404</v>
      </c>
      <c r="DE14" s="16">
        <f t="shared" ref="DE14" si="217">DE12+DE13</f>
        <v>274.64246809690769</v>
      </c>
      <c r="DF14" s="16">
        <f t="shared" ref="DF14" si="218">DF12+DF13</f>
        <v>264.7214379487765</v>
      </c>
      <c r="DG14" s="16">
        <f t="shared" ref="DG14" si="219">DG12+DG13</f>
        <v>277.13934112766992</v>
      </c>
      <c r="DH14" s="16">
        <f t="shared" ref="DH14" si="220">DH12+DH13</f>
        <v>367.53043751501923</v>
      </c>
      <c r="DI14" s="16">
        <f t="shared" ref="DI14" si="221">DI12+DI13</f>
        <v>376.40100855875801</v>
      </c>
      <c r="DJ14" s="16">
        <f t="shared" ref="DJ14" si="222">DJ12+DJ13</f>
        <v>219.68305364868669</v>
      </c>
      <c r="DK14" s="16">
        <f t="shared" ref="DK14" si="223">DK12+DK13</f>
        <v>67.260499435949384</v>
      </c>
      <c r="DL14" s="16">
        <f t="shared" ref="DL14" si="224">DL12+DL13</f>
        <v>14.506701783488504</v>
      </c>
      <c r="DM14" s="11">
        <f t="shared" si="69"/>
        <v>4181.6459194719719</v>
      </c>
      <c r="DN14" s="11">
        <f t="shared" si="34"/>
        <v>172.50484165768268</v>
      </c>
      <c r="DO14" s="11">
        <f t="shared" si="35"/>
        <v>91.503779293628639</v>
      </c>
      <c r="DP14" s="11">
        <f t="shared" si="6"/>
        <v>1861.8849481152558</v>
      </c>
      <c r="DQ14" s="11">
        <f t="shared" si="36"/>
        <v>1322.5210420695719</v>
      </c>
      <c r="DR14" s="15">
        <f t="shared" si="37"/>
        <v>0.44525169848679136</v>
      </c>
      <c r="DS14" s="15">
        <f t="shared" si="38"/>
        <v>0.3162680598831214</v>
      </c>
      <c r="DT14" s="11">
        <f t="shared" si="70"/>
        <v>552.61423316018045</v>
      </c>
      <c r="DX14" s="30">
        <f>DX13</f>
        <v>2040</v>
      </c>
      <c r="DY14" s="5" t="s">
        <v>23</v>
      </c>
      <c r="DZ14" s="16">
        <f>DZ12+DZ13</f>
        <v>232.14472280503225</v>
      </c>
      <c r="EA14" s="16">
        <f t="shared" ref="EA14" si="225">EA12+EA13</f>
        <v>271.86199068475662</v>
      </c>
      <c r="EB14" s="16">
        <f t="shared" ref="EB14" si="226">EB12+EB13</f>
        <v>271.56719994699284</v>
      </c>
      <c r="EC14" s="16">
        <f t="shared" ref="EC14" si="227">EC12+EC13</f>
        <v>148.09634571251644</v>
      </c>
      <c r="ED14" s="16">
        <f t="shared" ref="ED14" si="228">ED12+ED13</f>
        <v>128.19939247845639</v>
      </c>
      <c r="EE14" s="16">
        <f t="shared" ref="EE14" si="229">EE12+EE13</f>
        <v>236.58245525229125</v>
      </c>
      <c r="EF14" s="16">
        <f t="shared" ref="EF14" si="230">EF12+EF13</f>
        <v>325.82790029153443</v>
      </c>
      <c r="EG14" s="16">
        <f t="shared" ref="EG14" si="231">EG12+EG13</f>
        <v>453.24755924412671</v>
      </c>
      <c r="EH14" s="16">
        <f t="shared" ref="EH14" si="232">EH12+EH13</f>
        <v>447.32434957881617</v>
      </c>
      <c r="EI14" s="16">
        <f t="shared" ref="EI14" si="233">EI12+EI13</f>
        <v>406.65133288843504</v>
      </c>
      <c r="EJ14" s="16">
        <f t="shared" ref="EJ14" si="234">EJ12+EJ13</f>
        <v>362.55748091746062</v>
      </c>
      <c r="EK14" s="16">
        <f t="shared" ref="EK14" si="235">EK12+EK13</f>
        <v>310.75981741156932</v>
      </c>
      <c r="EL14" s="16">
        <f t="shared" ref="EL14" si="236">EL12+EL13</f>
        <v>304.01099552770404</v>
      </c>
      <c r="EM14" s="16">
        <f t="shared" ref="EM14" si="237">EM12+EM13</f>
        <v>274.64246809690769</v>
      </c>
      <c r="EN14" s="16">
        <f t="shared" ref="EN14" si="238">EN12+EN13</f>
        <v>264.7214379487765</v>
      </c>
      <c r="EO14" s="16">
        <f t="shared" ref="EO14" si="239">EO12+EO13</f>
        <v>277.13934112766992</v>
      </c>
      <c r="EP14" s="16">
        <f t="shared" ref="EP14" si="240">EP12+EP13</f>
        <v>367.53043751501923</v>
      </c>
      <c r="EQ14" s="16">
        <f t="shared" ref="EQ14" si="241">EQ12+EQ13</f>
        <v>376.40100855875801</v>
      </c>
      <c r="ER14" s="16">
        <f t="shared" ref="ER14" si="242">ER12+ER13</f>
        <v>219.68305364868669</v>
      </c>
      <c r="ES14" s="16">
        <f t="shared" ref="ES14" si="243">ES12+ES13</f>
        <v>67.260499435949384</v>
      </c>
      <c r="ET14" s="16">
        <f t="shared" ref="ET14" si="244">ET12+ET13</f>
        <v>14.506701783488504</v>
      </c>
      <c r="EU14" s="11">
        <f t="shared" si="71"/>
        <v>5760.7164908549466</v>
      </c>
      <c r="EV14" s="11">
        <f t="shared" si="41"/>
        <v>326.05751437904973</v>
      </c>
      <c r="EW14" s="11">
        <f t="shared" si="42"/>
        <v>138.24614912130042</v>
      </c>
      <c r="EX14" s="11">
        <f t="shared" si="10"/>
        <v>1861.8849481152558</v>
      </c>
      <c r="EY14" s="11">
        <f t="shared" si="43"/>
        <v>1322.5210420695719</v>
      </c>
      <c r="EZ14" s="15">
        <f t="shared" si="44"/>
        <v>0.3232037110437514</v>
      </c>
      <c r="FA14" s="15">
        <f t="shared" si="45"/>
        <v>0.22957579047138577</v>
      </c>
      <c r="FB14" s="11">
        <f t="shared" si="72"/>
        <v>1143.8573072664087</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52.099277601542781</v>
      </c>
      <c r="BL15" s="9">
        <f>IF(管理者入力シート!$B$14=1,BK12*管理者用人口入力シート!AM$3,IF(管理者入力シート!$B$14=2,BK12*管理者用人口入力シート!AM$7))</f>
        <v>66.582874573703279</v>
      </c>
      <c r="BM15" s="9">
        <f>IF(管理者入力シート!$B$14=1,BL12*管理者用人口入力シート!AN$3,IF(管理者入力シート!$B$14=2,BL12*管理者用人口入力シート!AN$7))</f>
        <v>69.823802562940187</v>
      </c>
      <c r="BN15" s="9">
        <f>IF(管理者入力シート!$B$14=1,BM12*管理者用人口入力シート!AO$3,IF(管理者入力シート!$B$14=2,BM12*管理者用人口入力シート!AO$7))</f>
        <v>63.059559695656802</v>
      </c>
      <c r="BO15" s="9">
        <f>IF(管理者入力シート!$B$14=1,BN12*管理者用人口入力シート!AP$3,IF(管理者入力シート!$B$14=2,BN12*管理者用人口入力シート!AP$7))</f>
        <v>49.333225637599945</v>
      </c>
      <c r="BP15" s="9">
        <f>IF(管理者入力シート!$B$14=1,BO12*管理者用人口入力シート!AQ$3,IF(管理者入力シート!$B$14=2,BO12*管理者用人口入力シート!AQ$7))</f>
        <v>57.172471971964974</v>
      </c>
      <c r="BQ15" s="9">
        <f>IF(管理者入力シート!$B$14=1,BP12*管理者用人口入力シート!AR$3,IF(管理者入力シート!$B$14=2,BP12*管理者用人口入力シート!AR$7))</f>
        <v>69.29313412137617</v>
      </c>
      <c r="BR15" s="9">
        <f>IF(管理者入力シート!$B$14=1,BQ12*管理者用人口入力シート!AS$3,IF(管理者入力シート!$B$14=2,BQ12*管理者用人口入力シート!AS$7))</f>
        <v>63.921985533253654</v>
      </c>
      <c r="BS15" s="9">
        <f>IF(管理者入力シート!$B$14=1,BR12*管理者用人口入力シート!AT$3,IF(管理者入力シート!$B$14=2,BR12*管理者用人口入力シート!AT$7))</f>
        <v>81.683227703698918</v>
      </c>
      <c r="BT15" s="9">
        <f>IF(管理者入力シート!$B$14=1,BS12*管理者用人口入力シート!AU$3,IF(管理者入力シート!$B$14=2,BS12*管理者用人口入力シート!AU$7))</f>
        <v>77.956078761391709</v>
      </c>
      <c r="BU15" s="9">
        <f>IF(管理者入力シート!$B$14=1,BT12*管理者用人口入力シート!AV$3,IF(管理者入力シート!$B$14=2,BT12*管理者用人口入力シート!AV$7))</f>
        <v>103.65575376746713</v>
      </c>
      <c r="BV15" s="9">
        <f>IF(管理者入力シート!$B$14=1,BU12*管理者用人口入力シート!AW$3,IF(管理者入力シート!$B$14=2,BU12*管理者用人口入力シート!AW$7))</f>
        <v>129.97775263407394</v>
      </c>
      <c r="BW15" s="9">
        <f>IF(管理者入力シート!$B$14=1,BV12*管理者用人口入力シート!AX$3,IF(管理者入力シート!$B$14=2,BV12*管理者用人口入力シート!AX$7))</f>
        <v>157.8018631597607</v>
      </c>
      <c r="BX15" s="9">
        <f>IF(管理者入力シート!$B$14=1,BW12*管理者用人口入力シート!AY$3,IF(管理者入力シート!$B$14=2,BW12*管理者用人口入力シート!AY$7))</f>
        <v>132.2511397120887</v>
      </c>
      <c r="BY15" s="9">
        <f>IF(管理者入力シート!$B$14=1,BX12*管理者用人口入力シート!AZ$3,IF(管理者入力シート!$B$14=2,BX12*管理者用人口入力シート!AZ$7))</f>
        <v>127.0566901813543</v>
      </c>
      <c r="BZ15" s="9">
        <f>IF(管理者入力シート!$B$14=1,BY12*管理者用人口入力シート!BA$3,IF(管理者入力シート!$B$14=2,BY12*管理者用人口入力シート!BA$7))</f>
        <v>105.15478493863137</v>
      </c>
      <c r="CA15" s="9">
        <f>IF(管理者入力シート!$B$14=1,BZ12*管理者用人口入力シート!BB$3,IF(管理者入力シート!$B$14=2,BZ12*管理者用人口入力シート!BB$7))</f>
        <v>101.26238539486454</v>
      </c>
      <c r="CB15" s="9">
        <f>IF(管理者入力シート!$B$14=1,CA12*管理者用人口入力シート!BC$3,IF(管理者入力シート!$B$14=2,CA12*管理者用人口入力シート!BC$7))</f>
        <v>107.08101275668619</v>
      </c>
      <c r="CC15" s="9">
        <f>IF(管理者入力シート!$B$14=1,CB12*管理者用人口入力シート!BD$3,IF(管理者入力シート!$B$14=2,CB12*管理者用人口入力シート!BD$7))</f>
        <v>58.447062666498759</v>
      </c>
      <c r="CD15" s="9">
        <f>IF(管理者入力シート!$B$14=1,CC12*管理者用人口入力シート!BE$3,IF(管理者入力シート!$B$14=2,CC12*管理者用人口入力シート!BE$7))</f>
        <v>16.204713927268376</v>
      </c>
      <c r="CE15" s="9">
        <f>IF(管理者入力シート!$B$14=1,CD12*管理者用人口入力シート!BF$3,IF(管理者入力シート!$B$14=2,CD12*管理者用人口入力シート!BF$7))</f>
        <v>1.9523916021046577</v>
      </c>
      <c r="CF15" s="9">
        <f t="shared" ref="CF15:CF20" si="252">SUM(BK15:CE15)</f>
        <v>1691.7711889039269</v>
      </c>
      <c r="CG15" s="9">
        <f t="shared" ref="CG15:CG20" si="253">BL15*3/5+BM15*3/5</f>
        <v>81.844006281986083</v>
      </c>
      <c r="CH15" s="9">
        <f t="shared" ref="CH15:CH20" si="254">BM15*2/5+BN15*1/5</f>
        <v>40.541432964307432</v>
      </c>
      <c r="CI15" s="9">
        <f t="shared" ref="CI15:CI20" si="255">SUM(BX15:CE15)</f>
        <v>649.4101811794967</v>
      </c>
      <c r="CJ15" s="9">
        <f t="shared" ref="CJ15:CJ20" si="256">SUM(BZ15:CE15)</f>
        <v>390.10235128605393</v>
      </c>
      <c r="CK15" s="13">
        <f t="shared" ref="CK15:CK20" si="257">CI15/CF15</f>
        <v>0.38386407419565988</v>
      </c>
      <c r="CL15" s="13">
        <f t="shared" ref="CL15:CL20" si="258">CJ15/CF15</f>
        <v>0.23058812790091038</v>
      </c>
      <c r="CM15" s="9">
        <f t="shared" ref="CM15:CM20" si="259">SUM(BO15:BR15)</f>
        <v>239.72081726419475</v>
      </c>
      <c r="CO15" s="7" t="str">
        <f t="shared" si="26"/>
        <v>2045_1</v>
      </c>
      <c r="CP15" s="28">
        <f>管理者入力シート!B12</f>
        <v>2045</v>
      </c>
      <c r="CQ15" s="3" t="s">
        <v>21</v>
      </c>
      <c r="CR15" s="9">
        <f>DT16*$AK$13+将来予測シート②!$G17</f>
        <v>54.855599872684799</v>
      </c>
      <c r="CS15" s="9">
        <f>IF(管理者入力シート!$B$14=1,CR12*管理者用人口入力シート!AM$3,IF(管理者入力シート!$B$14=2,CR12*管理者用人口入力シート!AM$7))+将来予測シート②!$G18</f>
        <v>69.512699654521285</v>
      </c>
      <c r="CT15" s="9">
        <f>IF(管理者入力シート!$B$14=1,CS12*管理者用人口入力シート!AN$3,IF(管理者入力シート!$B$14=2,CS12*管理者用人口入力シート!AN$7))+将来予測シート②!$G19</f>
        <v>73.696706874141</v>
      </c>
      <c r="CU15" s="9">
        <f>IF(管理者入力シート!$B$14=1,CT12*管理者用人口入力シート!AO$3,IF(管理者入力シート!$B$14=2,CT12*管理者用人口入力シート!AO$7))+将来予測シート②!$G20</f>
        <v>65.745205167290038</v>
      </c>
      <c r="CV15" s="9">
        <f>IF(管理者入力シート!$B$14=1,CU12*管理者用人口入力シート!AP$3,IF(管理者入力シート!$B$14=2,CU12*管理者用人口入力シート!AP$7))+将来予測シート②!$G21</f>
        <v>50.56660771985004</v>
      </c>
      <c r="CW15" s="9">
        <f>IF(管理者入力シート!$B$14=1,CV12*管理者用人口入力シート!AQ$3,IF(管理者入力シート!$B$14=2,CV12*管理者用人口入力シート!AQ$7))+将来予測シート②!$G22</f>
        <v>59.68690294716837</v>
      </c>
      <c r="CX15" s="9">
        <f>IF(管理者入力シート!$B$14=1,CW12*管理者用人口入力シート!AR$3,IF(管理者入力シート!$B$14=2,CW12*管理者用人口入力シート!AR$7))+将来予測シート②!$G23</f>
        <v>71.875221804096313</v>
      </c>
      <c r="CY15" s="9">
        <f>IF(管理者入力シート!$B$14=1,CX12*管理者用人口入力シート!AS$3,IF(管理者入力シート!$B$14=2,CX12*管理者用人口入力シート!AS$7))+将来予測シート②!$G24</f>
        <v>66.050228957836481</v>
      </c>
      <c r="CZ15" s="9">
        <f>IF(管理者入力シート!$B$14=1,CY12*管理者用人口入力シート!AT$3,IF(管理者入力シート!$B$14=2,CY12*管理者用人口入力シート!AT$7))+将来予測シート②!$G25</f>
        <v>83.827179588903761</v>
      </c>
      <c r="DA15" s="9">
        <f>IF(管理者入力シート!$B$14=1,CZ12*管理者用人口入力シート!AU$3,IF(管理者入力シート!$B$14=2,CZ12*管理者用人口入力シート!AU$7))+将来予測シート②!$G26</f>
        <v>80.157148825777526</v>
      </c>
      <c r="DB15" s="9">
        <f>IF(管理者入力シート!$B$14=1,DA12*管理者用人口入力シート!AV$3,IF(管理者入力シート!$B$14=2,DA12*管理者用人口入力シート!AV$7))+将来予測シート②!$G27</f>
        <v>103.65575376746713</v>
      </c>
      <c r="DC15" s="9">
        <f>IF(管理者入力シート!$B$14=1,DB12*管理者用人口入力シート!AW$3,IF(管理者入力シート!$B$14=2,DB12*管理者用人口入力シート!AW$7))+将来予測シート②!$G28</f>
        <v>129.97775263407394</v>
      </c>
      <c r="DD15" s="9">
        <f>IF(管理者入力シート!$B$14=1,DC12*管理者用人口入力シート!AX$3,IF(管理者入力シート!$B$14=2,DC12*管理者用人口入力シート!AX$7))+将来予測シート②!$G29</f>
        <v>157.8018631597607</v>
      </c>
      <c r="DE15" s="9">
        <f>IF(管理者入力シート!$B$14=1,DD12*管理者用人口入力シート!AY$3,IF(管理者入力シート!$B$14=2,DD12*管理者用人口入力シート!AY$7))</f>
        <v>132.2511397120887</v>
      </c>
      <c r="DF15" s="9">
        <f>IF(管理者入力シート!$B$14=1,DE12*管理者用人口入力シート!AZ$3,IF(管理者入力シート!$B$14=2,DE12*管理者用人口入力シート!AZ$7))</f>
        <v>127.0566901813543</v>
      </c>
      <c r="DG15" s="9">
        <f>IF(管理者入力シート!$B$14=1,DF12*管理者用人口入力シート!BA$3,IF(管理者入力シート!$B$14=2,DF12*管理者用人口入力シート!BA$7))</f>
        <v>105.15478493863137</v>
      </c>
      <c r="DH15" s="9">
        <f>IF(管理者入力シート!$B$14=1,DG12*管理者用人口入力シート!BB$3,IF(管理者入力シート!$B$14=2,DG12*管理者用人口入力シート!BB$7))</f>
        <v>101.26238539486454</v>
      </c>
      <c r="DI15" s="9">
        <f>IF(管理者入力シート!$B$14=1,DH12*管理者用人口入力シート!BC$3,IF(管理者入力シート!$B$14=2,DH12*管理者用人口入力シート!BC$7))</f>
        <v>107.08101275668619</v>
      </c>
      <c r="DJ15" s="9">
        <f>IF(管理者入力シート!$B$14=1,DI12*管理者用人口入力シート!BD$3,IF(管理者入力シート!$B$14=2,DI12*管理者用人口入力シート!BD$7))</f>
        <v>58.447062666498759</v>
      </c>
      <c r="DK15" s="9">
        <f>IF(管理者入力シート!$B$14=1,DJ12*管理者用人口入力シート!BE$3,IF(管理者入力シート!$B$14=2,DJ12*管理者用人口入力シート!BE$7))</f>
        <v>16.204713927268376</v>
      </c>
      <c r="DL15" s="9">
        <f>IF(管理者入力シート!$B$14=1,DK12*管理者用人口入力シート!BF$3,IF(管理者入力シート!$B$14=2,DK12*管理者用人口入力シート!BF$7))</f>
        <v>1.9523916021046577</v>
      </c>
      <c r="DM15" s="9">
        <f t="shared" ref="DM15:DM20" si="260">SUM(CR15:DL15)</f>
        <v>1716.8190521530682</v>
      </c>
      <c r="DN15" s="9">
        <f t="shared" ref="DN15:DN20" si="261">CS15*3/5+CT15*3/5</f>
        <v>85.925643917197377</v>
      </c>
      <c r="DO15" s="9">
        <f t="shared" ref="DO15:DO20" si="262">CT15*2/5+CU15*1/5</f>
        <v>42.627723783114405</v>
      </c>
      <c r="DP15" s="9">
        <f t="shared" ref="DP15:DP20" si="263">SUM(DE15:DL15)</f>
        <v>649.4101811794967</v>
      </c>
      <c r="DQ15" s="9">
        <f t="shared" ref="DQ15:DQ20" si="264">SUM(DG15:DL15)</f>
        <v>390.10235128605393</v>
      </c>
      <c r="DR15" s="13">
        <f t="shared" ref="DR15:DR20" si="265">DP15/DM15</f>
        <v>0.37826361512302031</v>
      </c>
      <c r="DS15" s="13">
        <f t="shared" ref="DS15:DS20" si="266">DQ15/DM15</f>
        <v>0.2272239178595003</v>
      </c>
      <c r="DT15" s="9">
        <f t="shared" ref="DT15:DT20" si="267">SUM(CV15:CY15)</f>
        <v>248.17896142895123</v>
      </c>
      <c r="DV15" s="62" t="s">
        <v>404</v>
      </c>
      <c r="DW15" s="210">
        <f>AK13+AK14</f>
        <v>0.41066163620342222</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48.728299983598433</v>
      </c>
      <c r="BL16" s="10">
        <f>IF(管理者入力シート!$B$14=1,BK13*管理者用人口入力シート!AM$4,IF(管理者入力シート!$B$14=2,BK13*管理者用人口入力シート!AM$8))</f>
        <v>60.255041974192238</v>
      </c>
      <c r="BM16" s="10">
        <f>IF(管理者入力シート!$B$14=1,BL13*管理者用人口入力シート!AN$4,IF(管理者入力シート!$B$14=2,BL13*管理者用人口入力シート!AN$8))</f>
        <v>66.159262472970269</v>
      </c>
      <c r="BN16" s="10">
        <f>IF(管理者入力シート!$B$14=1,BM13*管理者用人口入力シート!AO$4,IF(管理者入力シート!$B$14=2,BM13*管理者用人口入力シート!AO$8))</f>
        <v>62.760651813184865</v>
      </c>
      <c r="BO16" s="10">
        <f>IF(管理者入力シート!$B$14=1,BN13*管理者用人口入力シート!AP$4,IF(管理者入力シート!$B$14=2,BN13*管理者用人口入力シート!AP$8))</f>
        <v>52.755779223698859</v>
      </c>
      <c r="BP16" s="10">
        <f>IF(管理者入力シート!$B$14=1,BO13*管理者用人口入力シート!AQ$4,IF(管理者入力シート!$B$14=2,BO13*管理者用人口入力シート!AQ$8))</f>
        <v>57.60047052608855</v>
      </c>
      <c r="BQ16" s="10">
        <f>IF(管理者入力シート!$B$14=1,BP13*管理者用人口入力シート!AR$4,IF(管理者入力シート!$B$14=2,BP13*管理者用人口入力シート!AR$8))</f>
        <v>63.780869777842582</v>
      </c>
      <c r="BR16" s="10">
        <f>IF(管理者入力シート!$B$14=1,BQ13*管理者用人口入力シート!AS$4,IF(管理者入力シート!$B$14=2,BQ13*管理者用人口入力シート!AS$8))</f>
        <v>71.387586693518088</v>
      </c>
      <c r="BS16" s="10">
        <f>IF(管理者入力シート!$B$14=1,BR13*管理者用人口入力シート!AT$4,IF(管理者入力シート!$B$14=2,BR13*管理者用人口入力シート!AT$8))</f>
        <v>64.908761422727096</v>
      </c>
      <c r="BT16" s="10">
        <f>IF(管理者入力シート!$B$14=1,BS13*管理者用人口入力シート!AU$4,IF(管理者入力シート!$B$14=2,BS13*管理者用人口入力シート!AU$8))</f>
        <v>62.050341905058374</v>
      </c>
      <c r="BU16" s="10">
        <f>IF(管理者入力シート!$B$14=1,BT13*管理者用人口入力シート!AV$4,IF(管理者入力シート!$B$14=2,BT13*管理者用人口入力シート!AV$8))</f>
        <v>87.711255927272006</v>
      </c>
      <c r="BV16" s="10">
        <f>IF(管理者入力シート!$B$14=1,BU13*管理者用人口入力シート!AW$4,IF(管理者入力シート!$B$14=2,BU13*管理者用人口入力シート!AW$8))</f>
        <v>125.18960450156146</v>
      </c>
      <c r="BW16" s="10">
        <f>IF(管理者入力シート!$B$14=1,BV13*管理者用人口入力シート!AX$4,IF(管理者入力シート!$B$14=2,BV13*管理者用人口入力シート!AX$8))</f>
        <v>150.97934867498148</v>
      </c>
      <c r="BX16" s="10">
        <f>IF(管理者入力シート!$B$14=1,BW13*管理者用人口入力シート!AY$4,IF(管理者入力シート!$B$14=2,BW13*管理者用人口入力シート!AY$8))</f>
        <v>160.88324554986815</v>
      </c>
      <c r="BY16" s="10">
        <f>IF(管理者入力シート!$B$14=1,BX13*管理者用人口入力シート!AZ$4,IF(管理者入力シート!$B$14=2,BX13*管理者用人口入力シート!AZ$8))</f>
        <v>135.4792221779654</v>
      </c>
      <c r="BZ16" s="10">
        <f>IF(管理者入力シート!$B$14=1,BY13*管理者用人口入力シート!BA$4,IF(管理者入力シート!$B$14=2,BY13*管理者用人口入力シート!BA$8))</f>
        <v>137.83402191621184</v>
      </c>
      <c r="CA16" s="10">
        <f>IF(管理者入力シート!$B$14=1,BZ13*管理者用人口入力シート!BB$4,IF(管理者入力シート!$B$14=2,BZ13*管理者用人口入力シート!BB$8))</f>
        <v>155.05794977344655</v>
      </c>
      <c r="CB16" s="10">
        <f>IF(管理者入力シート!$B$14=1,CA13*管理者用人口入力シート!BC$4,IF(管理者入力シート!$B$14=2,CA13*管理者用人口入力シート!BC$8))</f>
        <v>221.31055386627628</v>
      </c>
      <c r="CC16" s="10">
        <f>IF(管理者入力シート!$B$14=1,CB13*管理者用人口入力シート!BD$4,IF(管理者入力シート!$B$14=2,CB13*管理者用人口入力シート!BD$8))</f>
        <v>176.39023719738262</v>
      </c>
      <c r="CD16" s="10">
        <f>IF(管理者入力シート!$B$14=1,CC13*管理者用人口入力シート!BE$4,IF(管理者入力シート!$B$14=2,CC13*管理者用人口入力シート!BE$8))</f>
        <v>76.16201361772562</v>
      </c>
      <c r="CE16" s="10">
        <f>IF(管理者入力シート!$B$14=1,CD13*管理者用人口入力シート!BF$4,IF(管理者入力シート!$B$14=2,CD13*管理者用人口入力シート!BF$8))</f>
        <v>11.871163436822904</v>
      </c>
      <c r="CF16" s="10">
        <f t="shared" si="252"/>
        <v>2049.2556824323938</v>
      </c>
      <c r="CG16" s="10">
        <f t="shared" si="253"/>
        <v>75.848582668297496</v>
      </c>
      <c r="CH16" s="10">
        <f t="shared" si="254"/>
        <v>39.015835351825082</v>
      </c>
      <c r="CI16" s="10">
        <f t="shared" si="255"/>
        <v>1074.9884075356993</v>
      </c>
      <c r="CJ16" s="10">
        <f t="shared" si="256"/>
        <v>778.62593980786585</v>
      </c>
      <c r="CK16" s="14">
        <f t="shared" si="257"/>
        <v>0.52457505266484183</v>
      </c>
      <c r="CL16" s="14">
        <f t="shared" si="258"/>
        <v>0.37995548651287109</v>
      </c>
      <c r="CM16" s="10">
        <f t="shared" si="259"/>
        <v>245.52470622114805</v>
      </c>
      <c r="CO16" s="7" t="str">
        <f t="shared" si="26"/>
        <v>2045_2</v>
      </c>
      <c r="CP16" s="29">
        <f>CP15</f>
        <v>2045</v>
      </c>
      <c r="CQ16" s="4" t="s">
        <v>22</v>
      </c>
      <c r="CR16" s="10">
        <f>DT16*$AK$14+将来予測シート②!$H17</f>
        <v>51.370983000254093</v>
      </c>
      <c r="CS16" s="10">
        <f>IF(管理者入力シート!$B$14=1,CR13*管理者用人口入力シート!AM$4,IF(管理者入力シート!$B$14=2,CR13*管理者用人口入力シート!AM$8))+将来予測シート②!$H18</f>
        <v>62.980230492046886</v>
      </c>
      <c r="CT16" s="10">
        <f>IF(管理者入力シート!$B$14=1,CS13*管理者用人口入力シート!AN$4,IF(管理者入力シート!$B$14=2,CS13*管理者用人口入力シート!AN$8))+将来予測シート②!$H19</f>
        <v>69.960875701870464</v>
      </c>
      <c r="CU16" s="10">
        <f>IF(管理者入力シート!$B$14=1,CT13*管理者用人口入力シート!AO$4,IF(管理者入力シート!$B$14=2,CT13*管理者用人口入力シート!AO$8))+将来予測シート②!$H20</f>
        <v>65.549822795472323</v>
      </c>
      <c r="CV16" s="10">
        <f>IF(管理者入力シート!$B$14=1,CU13*管理者用人口入力シート!AP$4,IF(管理者入力シート!$B$14=2,CU13*管理者用人口入力シート!AP$8))+将来予測シート②!$H21</f>
        <v>54.157752579626596</v>
      </c>
      <c r="CW16" s="10">
        <f>IF(管理者入力シート!$B$14=1,CV13*管理者用人口入力シート!AQ$4,IF(管理者入力シート!$B$14=2,CV13*管理者用人口入力シート!AQ$8))+将来予測シート②!$H22</f>
        <v>60.147460055308727</v>
      </c>
      <c r="CX16" s="10">
        <f>IF(管理者入力シート!$B$14=1,CW13*管理者用人口入力シート!AR$4,IF(管理者入力シート!$B$14=2,CW13*管理者用人口入力シート!AR$8))+将来予測シート②!$H23</f>
        <v>66.131630150575859</v>
      </c>
      <c r="CY16" s="10">
        <f>IF(管理者入力シート!$B$14=1,CX13*管理者用人口入力シート!AS$4,IF(管理者入力シート!$B$14=2,CX13*管理者用人口入力シート!AS$8))+将来予測シート②!$H24</f>
        <v>73.36476341397811</v>
      </c>
      <c r="CZ16" s="10">
        <f>IF(管理者入力シート!$B$14=1,CY13*管理者用人口入力シート!AT$4,IF(管理者入力シート!$B$14=2,CY13*管理者用人口入力シート!AT$8))+将来予測シート②!$H25</f>
        <v>67.909017803715244</v>
      </c>
      <c r="DA16" s="10">
        <f>IF(管理者入力シート!$B$14=1,CZ13*管理者用人口入力シート!AU$4,IF(管理者入力シート!$B$14=2,CZ13*管理者用人口入力シート!AU$8))+将来予測シート②!$H26</f>
        <v>65.129605086579161</v>
      </c>
      <c r="DB16" s="10">
        <f>IF(管理者入力シート!$B$14=1,DA13*管理者用人口入力シート!AV$4,IF(管理者入力シート!$B$14=2,DA13*管理者用人口入力シート!AV$8))+将来予測シート②!$H27</f>
        <v>88.691356820226076</v>
      </c>
      <c r="DC16" s="10">
        <f>IF(管理者入力シート!$B$14=1,DB13*管理者用人口入力シート!AW$4,IF(管理者入力シート!$B$14=2,DB13*管理者用人口入力シート!AW$8))+将来予測シート②!$H28</f>
        <v>126.16969228358366</v>
      </c>
      <c r="DD16" s="10">
        <f>IF(管理者入力シート!$B$14=1,DC13*管理者用人口入力シート!AX$4,IF(管理者入力シート!$B$14=2,DC13*管理者用人口入力シート!AX$8))+将来予測シート②!$H29</f>
        <v>151.94202295833355</v>
      </c>
      <c r="DE16" s="10">
        <f>IF(管理者入力シート!$B$14=1,DD13*管理者用人口入力シート!AY$4,IF(管理者入力シート!$B$14=2,DD13*管理者用人口入力シート!AY$8))</f>
        <v>160.88324554986815</v>
      </c>
      <c r="DF16" s="10">
        <f>IF(管理者入力シート!$B$14=1,DE13*管理者用人口入力シート!AZ$4,IF(管理者入力シート!$B$14=2,DE13*管理者用人口入力シート!AZ$8))</f>
        <v>135.4792221779654</v>
      </c>
      <c r="DG16" s="10">
        <f>IF(管理者入力シート!$B$14=1,DF13*管理者用人口入力シート!BA$4,IF(管理者入力シート!$B$14=2,DF13*管理者用人口入力シート!BA$8))</f>
        <v>137.83402191621184</v>
      </c>
      <c r="DH16" s="10">
        <f>IF(管理者入力シート!$B$14=1,DG13*管理者用人口入力シート!BB$4,IF(管理者入力シート!$B$14=2,DG13*管理者用人口入力シート!BB$8))</f>
        <v>155.05794977344655</v>
      </c>
      <c r="DI16" s="10">
        <f>IF(管理者入力シート!$B$14=1,DH13*管理者用人口入力シート!BC$4,IF(管理者入力シート!$B$14=2,DH13*管理者用人口入力シート!BC$8))</f>
        <v>221.31055386627628</v>
      </c>
      <c r="DJ16" s="10">
        <f>IF(管理者入力シート!$B$14=1,DI13*管理者用人口入力シート!BD$4,IF(管理者入力シート!$B$14=2,DI13*管理者用人口入力シート!BD$8))</f>
        <v>176.39023719738262</v>
      </c>
      <c r="DK16" s="10">
        <f>IF(管理者入力シート!$B$14=1,DJ13*管理者用人口入力シート!BE$4,IF(管理者入力シート!$B$14=2,DJ13*管理者用人口入力シート!BE$8))</f>
        <v>76.16201361772562</v>
      </c>
      <c r="DL16" s="10">
        <f>IF(管理者入力シート!$B$14=1,DK13*管理者用人口入力シート!BF$4,IF(管理者入力シート!$B$14=2,DK13*管理者用人口入力シート!BF$8))</f>
        <v>11.871163436822904</v>
      </c>
      <c r="DM16" s="10">
        <f t="shared" si="260"/>
        <v>2078.49362067727</v>
      </c>
      <c r="DN16" s="10">
        <f t="shared" si="261"/>
        <v>79.764663716350412</v>
      </c>
      <c r="DO16" s="10">
        <f t="shared" si="262"/>
        <v>41.094314839842653</v>
      </c>
      <c r="DP16" s="10">
        <f t="shared" si="263"/>
        <v>1074.9884075356993</v>
      </c>
      <c r="DQ16" s="10">
        <f t="shared" si="264"/>
        <v>778.62593980786585</v>
      </c>
      <c r="DR16" s="14">
        <f t="shared" si="265"/>
        <v>0.51719591382985242</v>
      </c>
      <c r="DS16" s="14">
        <f t="shared" si="266"/>
        <v>0.37461069500620037</v>
      </c>
      <c r="DT16" s="10">
        <f t="shared" si="267"/>
        <v>253.8016061994893</v>
      </c>
      <c r="DV16" s="211" t="s">
        <v>406</v>
      </c>
      <c r="DW16" s="7">
        <f>IF(DW10&lt;0,ABS(DW10)/DW15,0)</f>
        <v>114.32330802403808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100.82757758514121</v>
      </c>
      <c r="BL17" s="16">
        <f t="shared" ref="BL17:CE17" si="268">BL15+BL16</f>
        <v>126.83791654789552</v>
      </c>
      <c r="BM17" s="16">
        <f t="shared" si="268"/>
        <v>135.98306503591044</v>
      </c>
      <c r="BN17" s="16">
        <f t="shared" si="268"/>
        <v>125.82021150884167</v>
      </c>
      <c r="BO17" s="16">
        <f t="shared" si="268"/>
        <v>102.0890048612988</v>
      </c>
      <c r="BP17" s="16">
        <f t="shared" si="268"/>
        <v>114.77294249805352</v>
      </c>
      <c r="BQ17" s="16">
        <f t="shared" si="268"/>
        <v>133.07400389921875</v>
      </c>
      <c r="BR17" s="16">
        <f t="shared" si="268"/>
        <v>135.30957222677173</v>
      </c>
      <c r="BS17" s="16">
        <f t="shared" si="268"/>
        <v>146.59198912642603</v>
      </c>
      <c r="BT17" s="16">
        <f t="shared" si="268"/>
        <v>140.00642066645008</v>
      </c>
      <c r="BU17" s="16">
        <f t="shared" si="268"/>
        <v>191.36700969473912</v>
      </c>
      <c r="BV17" s="16">
        <f t="shared" si="268"/>
        <v>255.1673571356354</v>
      </c>
      <c r="BW17" s="16">
        <f t="shared" si="268"/>
        <v>308.78121183474218</v>
      </c>
      <c r="BX17" s="16">
        <f t="shared" si="268"/>
        <v>293.13438526195682</v>
      </c>
      <c r="BY17" s="16">
        <f t="shared" si="268"/>
        <v>262.5359123593197</v>
      </c>
      <c r="BZ17" s="16">
        <f t="shared" si="268"/>
        <v>242.9888068548432</v>
      </c>
      <c r="CA17" s="16">
        <f t="shared" si="268"/>
        <v>256.32033516831109</v>
      </c>
      <c r="CB17" s="16">
        <f t="shared" si="268"/>
        <v>328.3915666229625</v>
      </c>
      <c r="CC17" s="16">
        <f t="shared" si="268"/>
        <v>234.83729986388138</v>
      </c>
      <c r="CD17" s="16">
        <f t="shared" si="268"/>
        <v>92.366727544993992</v>
      </c>
      <c r="CE17" s="16">
        <f t="shared" si="268"/>
        <v>13.823555038927562</v>
      </c>
      <c r="CF17" s="11">
        <f t="shared" si="252"/>
        <v>3741.0268713363203</v>
      </c>
      <c r="CG17" s="11">
        <f t="shared" si="253"/>
        <v>157.69258895028358</v>
      </c>
      <c r="CH17" s="11">
        <f t="shared" si="254"/>
        <v>79.557268316132507</v>
      </c>
      <c r="CI17" s="11">
        <f t="shared" si="255"/>
        <v>1724.3985887151962</v>
      </c>
      <c r="CJ17" s="11">
        <f t="shared" si="256"/>
        <v>1168.7282910939198</v>
      </c>
      <c r="CK17" s="15">
        <f t="shared" si="257"/>
        <v>0.46094258288479745</v>
      </c>
      <c r="CL17" s="15">
        <f t="shared" si="258"/>
        <v>0.31240841920936058</v>
      </c>
      <c r="CM17" s="11">
        <f t="shared" si="259"/>
        <v>485.2455234853428</v>
      </c>
      <c r="CO17" s="7" t="str">
        <f t="shared" si="26"/>
        <v>2045_3</v>
      </c>
      <c r="CP17" s="30">
        <f>CP16</f>
        <v>2045</v>
      </c>
      <c r="CQ17" s="5" t="s">
        <v>23</v>
      </c>
      <c r="CR17" s="16">
        <f>CR15+CR16</f>
        <v>106.22658287293889</v>
      </c>
      <c r="CS17" s="16">
        <f>CS15+CS16</f>
        <v>132.49293014656817</v>
      </c>
      <c r="CT17" s="16">
        <f t="shared" ref="CT17:DL17" si="269">CT15+CT16</f>
        <v>143.65758257601146</v>
      </c>
      <c r="CU17" s="16">
        <f t="shared" si="269"/>
        <v>131.29502796276236</v>
      </c>
      <c r="CV17" s="16">
        <f t="shared" si="269"/>
        <v>104.72436029947664</v>
      </c>
      <c r="CW17" s="16">
        <f t="shared" si="269"/>
        <v>119.83436300247709</v>
      </c>
      <c r="CX17" s="16">
        <f t="shared" si="269"/>
        <v>138.00685195467219</v>
      </c>
      <c r="CY17" s="16">
        <f t="shared" si="269"/>
        <v>139.41499237181461</v>
      </c>
      <c r="CZ17" s="16">
        <f t="shared" si="269"/>
        <v>151.736197392619</v>
      </c>
      <c r="DA17" s="16">
        <f t="shared" si="269"/>
        <v>145.28675391235669</v>
      </c>
      <c r="DB17" s="16">
        <f t="shared" si="269"/>
        <v>192.34711058769321</v>
      </c>
      <c r="DC17" s="16">
        <f t="shared" si="269"/>
        <v>256.14744491765759</v>
      </c>
      <c r="DD17" s="16">
        <f t="shared" si="269"/>
        <v>309.74388611809422</v>
      </c>
      <c r="DE17" s="16">
        <f t="shared" si="269"/>
        <v>293.13438526195682</v>
      </c>
      <c r="DF17" s="16">
        <f t="shared" si="269"/>
        <v>262.5359123593197</v>
      </c>
      <c r="DG17" s="16">
        <f t="shared" si="269"/>
        <v>242.9888068548432</v>
      </c>
      <c r="DH17" s="16">
        <f t="shared" si="269"/>
        <v>256.32033516831109</v>
      </c>
      <c r="DI17" s="16">
        <f t="shared" si="269"/>
        <v>328.3915666229625</v>
      </c>
      <c r="DJ17" s="16">
        <f t="shared" si="269"/>
        <v>234.83729986388138</v>
      </c>
      <c r="DK17" s="16">
        <f t="shared" si="269"/>
        <v>92.366727544993992</v>
      </c>
      <c r="DL17" s="16">
        <f t="shared" si="269"/>
        <v>13.823555038927562</v>
      </c>
      <c r="DM17" s="11">
        <f t="shared" si="260"/>
        <v>3795.3126728303378</v>
      </c>
      <c r="DN17" s="11">
        <f t="shared" si="261"/>
        <v>165.69030763354777</v>
      </c>
      <c r="DO17" s="11">
        <f t="shared" si="262"/>
        <v>83.722038622957058</v>
      </c>
      <c r="DP17" s="11">
        <f t="shared" si="263"/>
        <v>1724.3985887151962</v>
      </c>
      <c r="DQ17" s="11">
        <f t="shared" si="264"/>
        <v>1168.7282910939198</v>
      </c>
      <c r="DR17" s="15">
        <f t="shared" si="265"/>
        <v>0.4543495457066607</v>
      </c>
      <c r="DS17" s="15">
        <f t="shared" si="266"/>
        <v>0.30793992270005671</v>
      </c>
      <c r="DT17" s="11">
        <f t="shared" si="267"/>
        <v>501.98056762844055</v>
      </c>
      <c r="DV17" s="62" t="s">
        <v>407</v>
      </c>
      <c r="DW17" s="7">
        <f>IF(DW9&gt;=0,0,IF(AND(DW10&lt;=0,DW9&lt;=0,DW16*2&gt;=ABS(DW9)),ROUND(DW16/3,0),ROUND(ABS(DW9)/6,0)))</f>
        <v>50</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45.02123551419394</v>
      </c>
      <c r="BL18" s="9">
        <f>IF(管理者入力シート!$B$14=1,BK15*管理者用人口入力シート!AM$3,IF(管理者入力シート!$B$14=2,BK15*管理者用人口入力シート!AM$7))</f>
        <v>61.420350365363099</v>
      </c>
      <c r="BM18" s="9">
        <f>IF(管理者入力シート!$B$14=1,BL15*管理者用人口入力シート!AN$3,IF(管理者入力シート!$B$14=2,BL15*管理者用人口入力シート!AN$7))</f>
        <v>68.487963891235466</v>
      </c>
      <c r="BN18" s="9">
        <f>IF(管理者入力シート!$B$14=1,BM15*管理者用人口入力シート!AO$3,IF(管理者入力シート!$B$14=2,BM15*管理者用人口入力シート!AO$7))</f>
        <v>58.559249099750403</v>
      </c>
      <c r="BO18" s="9">
        <f>IF(管理者入力シート!$B$14=1,BN15*管理者用人口入力シート!AP$3,IF(管理者入力シート!$B$14=2,BN15*管理者用人口入力シート!AP$7))</f>
        <v>41.912694430593483</v>
      </c>
      <c r="BP18" s="9">
        <f>IF(管理者入力シート!$B$14=1,BO15*管理者用人口入力シート!AQ$3,IF(管理者入力シート!$B$14=2,BO15*管理者用人口入力シート!AQ$7))</f>
        <v>45.52814686746072</v>
      </c>
      <c r="BQ18" s="9">
        <f>IF(管理者入力シート!$B$14=1,BP15*管理者用人口入力シート!AR$3,IF(管理者入力シート!$B$14=2,BP15*管理者用人口入力シート!AR$7))</f>
        <v>58.710832440938773</v>
      </c>
      <c r="BR18" s="9">
        <f>IF(管理者入力シート!$B$14=1,BQ15*管理者用人口入力シート!AS$3,IF(管理者入力シート!$B$14=2,BQ15*管理者用人口入力シート!AS$7))</f>
        <v>71.804265090448354</v>
      </c>
      <c r="BS18" s="9">
        <f>IF(管理者入力シート!$B$14=1,BR15*管理者用人口入力シート!AT$3,IF(管理者入力シート!$B$14=2,BR15*管理者用人口入力シート!AT$7))</f>
        <v>64.39379058197693</v>
      </c>
      <c r="BT18" s="9">
        <f>IF(管理者入力シート!$B$14=1,BS15*管理者用人口入力シート!AU$3,IF(管理者入力シート!$B$14=2,BS15*管理者用人口入力シート!AU$7))</f>
        <v>83.859394654205261</v>
      </c>
      <c r="BU18" s="9">
        <f>IF(管理者入力シート!$B$14=1,BT15*管理者用人口入力シート!AV$3,IF(管理者入力シート!$B$14=2,BT15*管理者用人口入力シート!AV$7))</f>
        <v>79.234247304113978</v>
      </c>
      <c r="BV18" s="9">
        <f>IF(管理者入力シート!$B$14=1,BU15*管理者用人口入力シート!AW$3,IF(管理者入力シート!$B$14=2,BU15*管理者用人口入力シート!AW$7))</f>
        <v>99.629602093146644</v>
      </c>
      <c r="BW18" s="9">
        <f>IF(管理者入力シート!$B$14=1,BV15*管理者用人口入力シート!AX$3,IF(管理者入力シート!$B$14=2,BV15*管理者用人口入力シート!AX$7))</f>
        <v>130.60046471168474</v>
      </c>
      <c r="BX18" s="9">
        <f>IF(管理者入力シート!$B$14=1,BW15*管理者用人口入力シート!AY$3,IF(管理者入力シート!$B$14=2,BW15*管理者用人口入力シート!AY$7))</f>
        <v>147.24142747256849</v>
      </c>
      <c r="BY18" s="9">
        <f>IF(管理者入力シート!$B$14=1,BX15*管理者用人口入力シート!AZ$3,IF(管理者入力シート!$B$14=2,BX15*管理者用人口入力シート!AZ$7))</f>
        <v>124.67865058071779</v>
      </c>
      <c r="BZ18" s="9">
        <f>IF(管理者入力シート!$B$14=1,BY15*管理者用人口入力シート!BA$3,IF(管理者入力シート!$B$14=2,BY15*管理者用人口入力シート!BA$7))</f>
        <v>109.87659124229241</v>
      </c>
      <c r="CA18" s="9">
        <f>IF(管理者入力シート!$B$14=1,BZ15*管理者用人口入力シート!BB$3,IF(管理者入力シート!$B$14=2,BZ15*管理者用人口入力シート!BB$7))</f>
        <v>87.720540874365113</v>
      </c>
      <c r="CB18" s="9">
        <f>IF(管理者入力シート!$B$14=1,CA15*管理者用人口入力シート!BC$3,IF(管理者入力シート!$B$14=2,CA15*管理者用人口入力シート!BC$7))</f>
        <v>75.056881946698184</v>
      </c>
      <c r="CC18" s="9">
        <f>IF(管理者入力シート!$B$14=1,CB15*管理者用人口入力シート!BD$3,IF(管理者入力シート!$B$14=2,CB15*管理者用人口入力シート!BD$7))</f>
        <v>50.386222983116731</v>
      </c>
      <c r="CD18" s="9">
        <f>IF(管理者入力シート!$B$14=1,CC15*管理者用人口入力シート!BE$3,IF(管理者入力シート!$B$14=2,CC15*管理者用人口入力シート!BE$7))</f>
        <v>16.002906724603868</v>
      </c>
      <c r="CE18" s="9">
        <f>IF(管理者入力シート!$B$14=1,CD15*管理者用人口入力シート!BF$3,IF(管理者入力シート!$B$14=2,CD15*管理者用人口入力シート!BF$7))</f>
        <v>3.204082692254989</v>
      </c>
      <c r="CF18" s="9">
        <f t="shared" si="252"/>
        <v>1523.3295415617295</v>
      </c>
      <c r="CG18" s="9">
        <f t="shared" si="253"/>
        <v>77.944988553959149</v>
      </c>
      <c r="CH18" s="9">
        <f t="shared" si="254"/>
        <v>39.107035376444266</v>
      </c>
      <c r="CI18" s="9">
        <f t="shared" si="255"/>
        <v>614.16730451661761</v>
      </c>
      <c r="CJ18" s="9">
        <f t="shared" si="256"/>
        <v>342.24722646333129</v>
      </c>
      <c r="CK18" s="13">
        <f t="shared" si="257"/>
        <v>0.40317428879306605</v>
      </c>
      <c r="CL18" s="13">
        <f t="shared" si="258"/>
        <v>0.22467051096012799</v>
      </c>
      <c r="CM18" s="9">
        <f t="shared" si="259"/>
        <v>217.95593882944135</v>
      </c>
      <c r="CO18" s="7" t="str">
        <f t="shared" si="26"/>
        <v>2050_1</v>
      </c>
      <c r="CP18" s="28">
        <f>管理者入力シート!B13</f>
        <v>2050</v>
      </c>
      <c r="CQ18" s="3" t="s">
        <v>21</v>
      </c>
      <c r="CR18" s="9">
        <f>DT19*$AK$13+将来予測シート②!$G17</f>
        <v>48.160067102566124</v>
      </c>
      <c r="CS18" s="9">
        <f>IF(管理者入力シート!$B$14=1,CR15*管理者用人口入力シート!AM$3,IF(管理者入力シート!$B$14=2,CR15*管理者用人口入力シート!AM$7))+将来予測シート②!$G18</f>
        <v>64.669805778318448</v>
      </c>
      <c r="CT18" s="9">
        <f>IF(管理者入力シート!$B$14=1,CS15*管理者用人口入力シート!AN$3,IF(管理者入力シート!$B$14=2,CS15*管理者用人口入力シート!AN$7))+将来予測シート②!$G19</f>
        <v>72.501618012169871</v>
      </c>
      <c r="CU18" s="9">
        <f>IF(管理者入力シート!$B$14=1,CT15*管理者用人口入力シート!AO$3,IF(管理者入力シート!$B$14=2,CT15*管理者用人口入力シート!AO$7))+将来予測シート②!$G20</f>
        <v>61.807344447961633</v>
      </c>
      <c r="CV18" s="9">
        <f>IF(管理者入力シート!$B$14=1,CU15*管理者用人口入力シート!AP$3,IF(管理者入力シート!$B$14=2,CU15*管理者用人口入力シート!AP$7))+将来予測シート②!$G21</f>
        <v>43.697715425740455</v>
      </c>
      <c r="CW18" s="9">
        <f>IF(管理者入力シート!$B$14=1,CV15*管理者用人口入力シート!AQ$3,IF(管理者入力シート!$B$14=2,CV15*管理者用人口入力シート!AQ$7))+将来予測シート②!$G22</f>
        <v>48.666398012781706</v>
      </c>
      <c r="CX18" s="9">
        <f>IF(管理者入力シート!$B$14=1,CW15*管理者用人口入力シート!AR$3,IF(管理者入力シート!$B$14=2,CW15*管理者用人口入力シート!AR$7))+将来予測シート②!$G23</f>
        <v>61.292920123658909</v>
      </c>
      <c r="CY18" s="9">
        <f>IF(管理者入力シート!$B$14=1,CX15*管理者用人口入力シート!AS$3,IF(管理者入力シート!$B$14=2,CX15*管理者用人口入力シート!AS$7))+将来予測シート②!$G24</f>
        <v>74.479925685220365</v>
      </c>
      <c r="CZ18" s="9">
        <f>IF(管理者入力シート!$B$14=1,CY15*管理者用人口入力シート!AT$3,IF(管理者入力シート!$B$14=2,CY15*管理者用人口入力シート!AT$7))+将来予測シート②!$G25</f>
        <v>66.537742467181786</v>
      </c>
      <c r="DA18" s="9">
        <f>IF(管理者入力シート!$B$14=1,CZ15*管理者用人口入力シート!AU$3,IF(管理者入力シート!$B$14=2,CZ15*管理者用人口入力シート!AU$7))+将来予測シート②!$G26</f>
        <v>86.060464718591049</v>
      </c>
      <c r="DB18" s="9">
        <f>IF(管理者入力シート!$B$14=1,DA15*管理者用人口入力シート!AV$3,IF(管理者入力シート!$B$14=2,DA15*管理者用人口入力シート!AV$7))+将来予測シート②!$G27</f>
        <v>81.471406132343816</v>
      </c>
      <c r="DC18" s="9">
        <f>IF(管理者入力シート!$B$14=1,DB15*管理者用人口入力シート!AW$3,IF(管理者入力シート!$B$14=2,DB15*管理者用人口入力シート!AW$7))+将来予測シート②!$G28</f>
        <v>99.629602093146644</v>
      </c>
      <c r="DD18" s="9">
        <f>IF(管理者入力シート!$B$14=1,DC15*管理者用人口入力シート!AX$3,IF(管理者入力シート!$B$14=2,DC15*管理者用人口入力シート!AX$7))+将来予測シート②!$G29</f>
        <v>130.60046471168474</v>
      </c>
      <c r="DE18" s="9">
        <f>IF(管理者入力シート!$B$14=1,DD15*管理者用人口入力シート!AY$3,IF(管理者入力シート!$B$14=2,DD15*管理者用人口入力シート!AY$7))</f>
        <v>147.24142747256849</v>
      </c>
      <c r="DF18" s="9">
        <f>IF(管理者入力シート!$B$14=1,DE15*管理者用人口入力シート!AZ$3,IF(管理者入力シート!$B$14=2,DE15*管理者用人口入力シート!AZ$7))</f>
        <v>124.67865058071779</v>
      </c>
      <c r="DG18" s="9">
        <f>IF(管理者入力シート!$B$14=1,DF15*管理者用人口入力シート!BA$3,IF(管理者入力シート!$B$14=2,DF15*管理者用人口入力シート!BA$7))</f>
        <v>109.87659124229241</v>
      </c>
      <c r="DH18" s="9">
        <f>IF(管理者入力シート!$B$14=1,DG15*管理者用人口入力シート!BB$3,IF(管理者入力シート!$B$14=2,DG15*管理者用人口入力シート!BB$7))</f>
        <v>87.720540874365113</v>
      </c>
      <c r="DI18" s="9">
        <f>IF(管理者入力シート!$B$14=1,DH15*管理者用人口入力シート!BC$3,IF(管理者入力シート!$B$14=2,DH15*管理者用人口入力シート!BC$7))</f>
        <v>75.056881946698184</v>
      </c>
      <c r="DJ18" s="9">
        <f>IF(管理者入力シート!$B$14=1,DI15*管理者用人口入力シート!BD$3,IF(管理者入力シート!$B$14=2,DI15*管理者用人口入力シート!BD$7))</f>
        <v>50.386222983116731</v>
      </c>
      <c r="DK18" s="9">
        <f>IF(管理者入力シート!$B$14=1,DJ15*管理者用人口入力シート!BE$3,IF(管理者入力シート!$B$14=2,DJ15*管理者用人口入力シート!BE$7))</f>
        <v>16.002906724603868</v>
      </c>
      <c r="DL18" s="9">
        <f>IF(管理者入力シート!$B$14=1,DK15*管理者用人口入力シート!BF$3,IF(管理者入力シート!$B$14=2,DK15*管理者用人口入力シート!BF$7))</f>
        <v>3.204082692254989</v>
      </c>
      <c r="DM18" s="9">
        <f t="shared" si="260"/>
        <v>1553.7427792279834</v>
      </c>
      <c r="DN18" s="9">
        <f t="shared" si="261"/>
        <v>82.302854274292997</v>
      </c>
      <c r="DO18" s="9">
        <f t="shared" si="262"/>
        <v>41.362116094460276</v>
      </c>
      <c r="DP18" s="9">
        <f t="shared" si="263"/>
        <v>614.16730451661761</v>
      </c>
      <c r="DQ18" s="9">
        <f t="shared" si="264"/>
        <v>342.24722646333129</v>
      </c>
      <c r="DR18" s="13">
        <f t="shared" si="265"/>
        <v>0.39528248351492401</v>
      </c>
      <c r="DS18" s="13">
        <f t="shared" si="266"/>
        <v>0.22027277039600179</v>
      </c>
      <c r="DT18" s="9">
        <f t="shared" si="267"/>
        <v>228.13695924740145</v>
      </c>
      <c r="DX18" s="306">
        <f>DX1</f>
        <v>50</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42.108228189768873</v>
      </c>
      <c r="BL19" s="10">
        <f>IF(管理者入力シート!$B$14=1,BK16*管理者用人口入力シート!AM$4,IF(管理者入力シート!$B$14=2,BK16*管理者用人口入力シート!AM$8))</f>
        <v>55.583148264917391</v>
      </c>
      <c r="BM19" s="10">
        <f>IF(管理者入力シート!$B$14=1,BL16*管理者用人口入力シート!AN$4,IF(管理者入力シート!$B$14=2,BL16*管理者用人口入力シート!AN$8))</f>
        <v>64.893532191048266</v>
      </c>
      <c r="BN19" s="10">
        <f>IF(管理者入力シート!$B$14=1,BM16*管理者用人口入力シート!AO$4,IF(管理者入力シート!$B$14=2,BM16*管理者用人口入力シート!AO$8))</f>
        <v>58.281673086977221</v>
      </c>
      <c r="BO19" s="10">
        <f>IF(管理者入力シート!$B$14=1,BN16*管理者用人口入力シート!AP$4,IF(管理者入力シート!$B$14=2,BN16*管理者用人口入力シート!AP$8))</f>
        <v>44.820439480152224</v>
      </c>
      <c r="BP19" s="10">
        <f>IF(管理者入力シート!$B$14=1,BO16*管理者用人口入力シート!AQ$4,IF(管理者入力シート!$B$14=2,BO16*管理者用人口入力シート!AQ$8))</f>
        <v>45.868974898138731</v>
      </c>
      <c r="BQ19" s="10">
        <f>IF(管理者入力シート!$B$14=1,BP16*管理者用人口入力シート!AR$4,IF(管理者入力シート!$B$14=2,BP16*管理者用人口入力シート!AR$8))</f>
        <v>53.162724860112668</v>
      </c>
      <c r="BR19" s="10">
        <f>IF(管理者入力シート!$B$14=1,BQ16*管理者用人口入力シート!AS$4,IF(管理者入力シート!$B$14=2,BQ16*管理者用人口入力シート!AS$8))</f>
        <v>68.316361597167585</v>
      </c>
      <c r="BS19" s="10">
        <f>IF(管理者入力シート!$B$14=1,BR16*管理者用人口入力シート!AT$4,IF(管理者入力シート!$B$14=2,BR16*管理者用人口入力シート!AT$8))</f>
        <v>72.220896761232112</v>
      </c>
      <c r="BT19" s="10">
        <f>IF(管理者入力シート!$B$14=1,BS16*管理者用人口入力シート!AU$4,IF(管理者入力シート!$B$14=2,BS16*管理者用人口入力シート!AU$8))</f>
        <v>66.618026537216267</v>
      </c>
      <c r="BU19" s="10">
        <f>IF(管理者入力シート!$B$14=1,BT16*管理者用人口入力シート!AV$4,IF(管理者入力シート!$B$14=2,BT16*管理者用人口入力シート!AV$8))</f>
        <v>59.255207409753204</v>
      </c>
      <c r="BV19" s="10">
        <f>IF(管理者入力シート!$B$14=1,BU16*管理者用人口入力シート!AW$4,IF(管理者入力シート!$B$14=2,BU16*管理者用人口入力シート!AW$8))</f>
        <v>87.710082602863935</v>
      </c>
      <c r="BW19" s="10">
        <f>IF(管理者入力シート!$B$14=1,BV16*管理者用人口入力シート!AX$4,IF(管理者入力シート!$B$14=2,BV16*管理者用人口入力シート!AX$8))</f>
        <v>122.96532515486564</v>
      </c>
      <c r="BX19" s="10">
        <f>IF(管理者入力シート!$B$14=1,BW16*管理者用人口入力シート!AY$4,IF(管理者入力シート!$B$14=2,BW16*管理者用人口入力シート!AY$8))</f>
        <v>149.6848847082143</v>
      </c>
      <c r="BY19" s="10">
        <f>IF(管理者入力シート!$B$14=1,BX16*管理者用人口入力シート!AZ$4,IF(管理者入力シート!$B$14=2,BX16*管理者用人口入力シート!AZ$8))</f>
        <v>155.83409763186503</v>
      </c>
      <c r="BZ19" s="10">
        <f>IF(管理者入力シート!$B$14=1,BY16*管理者用人口入力シート!BA$4,IF(管理者入力シート!$B$14=2,BY16*管理者用人口入力シート!BA$8))</f>
        <v>130.47102919740868</v>
      </c>
      <c r="CA19" s="10">
        <f>IF(管理者入力シート!$B$14=1,BZ16*管理者用人口入力シート!BB$4,IF(管理者入力シート!$B$14=2,BZ16*管理者用人口入力シート!BB$8))</f>
        <v>137.22043047529235</v>
      </c>
      <c r="CB19" s="10">
        <f>IF(管理者入力シート!$B$14=1,CA16*管理者用人口入力シート!BC$4,IF(管理者入力シート!$B$14=2,CA16*管理者用人口入力シート!BC$8))</f>
        <v>153.83980163705638</v>
      </c>
      <c r="CC19" s="10">
        <f>IF(管理者入力シート!$B$14=1,CB16*管理者用人口入力シート!BD$4,IF(管理者入力シート!$B$14=2,CB16*管理者用人口入力シート!BD$8))</f>
        <v>154.79267914387395</v>
      </c>
      <c r="CD19" s="10">
        <f>IF(管理者入力シート!$B$14=1,CC16*管理者用人口入力シート!BE$4,IF(管理者入力シート!$B$14=2,CC16*管理者用人口入力シート!BE$8))</f>
        <v>83.702958202903545</v>
      </c>
      <c r="CE19" s="10">
        <f>IF(管理者入力シート!$B$14=1,CD16*管理者用人口入力シート!BF$4,IF(管理者入力シート!$B$14=2,CD16*管理者用人口入力シート!BF$8))</f>
        <v>15.755200709716066</v>
      </c>
      <c r="CF19" s="10">
        <f t="shared" si="252"/>
        <v>1823.1057027405443</v>
      </c>
      <c r="CG19" s="10">
        <f t="shared" si="253"/>
        <v>72.286008273579398</v>
      </c>
      <c r="CH19" s="10">
        <f t="shared" si="254"/>
        <v>37.613747493814749</v>
      </c>
      <c r="CI19" s="10">
        <f t="shared" si="255"/>
        <v>981.30108170633048</v>
      </c>
      <c r="CJ19" s="10">
        <f t="shared" si="256"/>
        <v>675.78209936625103</v>
      </c>
      <c r="CK19" s="14">
        <f t="shared" si="257"/>
        <v>0.53825791901764708</v>
      </c>
      <c r="CL19" s="14">
        <f t="shared" si="258"/>
        <v>0.37067631259690326</v>
      </c>
      <c r="CM19" s="10">
        <f t="shared" si="259"/>
        <v>212.16850083557119</v>
      </c>
      <c r="CO19" s="7" t="str">
        <f t="shared" si="26"/>
        <v>2050_2</v>
      </c>
      <c r="CP19" s="29">
        <f>CP18</f>
        <v>2050</v>
      </c>
      <c r="CQ19" s="4" t="s">
        <v>22</v>
      </c>
      <c r="CR19" s="10">
        <f>DT19*$AK$14+将来予測シート②!$H17</f>
        <v>45.108671037550501</v>
      </c>
      <c r="CS19" s="10">
        <f>IF(管理者入力シート!$B$14=1,CR16*管理者用人口入力シート!AM$4,IF(管理者入力シート!$B$14=2,CR16*管理者用人口入力シート!AM$8))+将来予測シート②!$H18</f>
        <v>58.597590426482483</v>
      </c>
      <c r="CT19" s="10">
        <f>IF(管理者入力シート!$B$14=1,CS16*管理者用人口入力シート!AN$4,IF(管理者入力シート!$B$14=2,CS16*管理者用人口入力シート!AN$8))+将来予測シート②!$H19</f>
        <v>68.828508302853493</v>
      </c>
      <c r="CU19" s="10">
        <f>IF(管理者入力シート!$B$14=1,CT16*管理者用人口入力シート!AO$4,IF(管理者入力シート!$B$14=2,CT16*管理者用人口入力シート!AO$8))+将来予測シート②!$H20</f>
        <v>61.630627883751302</v>
      </c>
      <c r="CV19" s="10">
        <f>IF(管理者入力シート!$B$14=1,CU16*管理者用人口入力シート!AP$4,IF(管理者入力シート!$B$14=2,CU16*管理者用人口入力シート!AP$8))+将来予測シート②!$H21</f>
        <v>46.812322381297449</v>
      </c>
      <c r="CW19" s="10">
        <f>IF(管理者入力シート!$B$14=1,CV16*管理者用人口入力シート!AQ$4,IF(管理者入力シート!$B$14=2,CV16*管理者用人口入力シート!AQ$8))+将来予測シート②!$H22</f>
        <v>49.087932927328843</v>
      </c>
      <c r="CX19" s="10">
        <f>IF(管理者入力シート!$B$14=1,CW16*管理者用人口入力シート!AR$4,IF(管理者入力シート!$B$14=2,CW16*管理者用人口入力シート!AR$8))+将来予測シート②!$H23</f>
        <v>55.513485232845944</v>
      </c>
      <c r="CY19" s="10">
        <f>IF(管理者入力シート!$B$14=1,CX16*管理者用人口入力シート!AS$4,IF(管理者入力シート!$B$14=2,CX16*管理者用人口入力シート!AS$8))+将来予測シート②!$H24</f>
        <v>70.834285799382357</v>
      </c>
      <c r="CZ19" s="10">
        <f>IF(管理者入力シート!$B$14=1,CY16*管理者用人口入力シート!AT$4,IF(管理者入力シート!$B$14=2,CY16*管理者用人口入力シート!AT$8))+将来予測シート②!$H25</f>
        <v>75.221153142220274</v>
      </c>
      <c r="DA19" s="10">
        <f>IF(管理者入力シート!$B$14=1,CZ16*管理者用人口入力シート!AU$4,IF(管理者入力シート!$B$14=2,CZ16*管理者用人口入力シート!AU$8))+将来予測シート②!$H26</f>
        <v>69.697289718737053</v>
      </c>
      <c r="DB19" s="10">
        <f>IF(管理者入力シート!$B$14=1,DA16*管理者用人口入力シート!AV$4,IF(管理者入力シート!$B$14=2,DA16*管理者用人口入力シート!AV$8))+将来予測シート②!$H27</f>
        <v>62.195761367850842</v>
      </c>
      <c r="DC19" s="10">
        <f>IF(管理者入力シート!$B$14=1,DB16*管理者用人口入力シート!AW$4,IF(管理者入力シート!$B$14=2,DB16*管理者用人口入力シート!AW$8))+将来予測シート②!$H28</f>
        <v>88.690170384886144</v>
      </c>
      <c r="DD19" s="10">
        <f>IF(管理者入力シート!$B$14=1,DC16*管理者用人口入力シート!AX$4,IF(管理者入力シート!$B$14=2,DC16*管理者用人口入力シート!AX$8))+将来予測シート②!$H29</f>
        <v>123.92799943821771</v>
      </c>
      <c r="DE19" s="10">
        <f>IF(管理者入力シート!$B$14=1,DD16*管理者用人口入力シート!AY$4,IF(管理者入力シート!$B$14=2,DD16*管理者用人口入力シート!AY$8))</f>
        <v>150.63930523247635</v>
      </c>
      <c r="DF19" s="10">
        <f>IF(管理者入力シート!$B$14=1,DE16*管理者用人口入力シート!AZ$4,IF(管理者入力シート!$B$14=2,DE16*管理者用人口入力シート!AZ$8))</f>
        <v>155.83409763186503</v>
      </c>
      <c r="DG19" s="10">
        <f>IF(管理者入力シート!$B$14=1,DF16*管理者用人口入力シート!BA$4,IF(管理者入力シート!$B$14=2,DF16*管理者用人口入力シート!BA$8))</f>
        <v>130.47102919740868</v>
      </c>
      <c r="DH19" s="10">
        <f>IF(管理者入力シート!$B$14=1,DG16*管理者用人口入力シート!BB$4,IF(管理者入力シート!$B$14=2,DG16*管理者用人口入力シート!BB$8))</f>
        <v>137.22043047529235</v>
      </c>
      <c r="DI19" s="10">
        <f>IF(管理者入力シート!$B$14=1,DH16*管理者用人口入力シート!BC$4,IF(管理者入力シート!$B$14=2,DH16*管理者用人口入力シート!BC$8))</f>
        <v>153.83980163705638</v>
      </c>
      <c r="DJ19" s="10">
        <f>IF(管理者入力シート!$B$14=1,DI16*管理者用人口入力シート!BD$4,IF(管理者入力シート!$B$14=2,DI16*管理者用人口入力シート!BD$8))</f>
        <v>154.79267914387395</v>
      </c>
      <c r="DK19" s="10">
        <f>IF(管理者入力シート!$B$14=1,DJ16*管理者用人口入力シート!BE$4,IF(管理者入力シート!$B$14=2,DJ16*管理者用人口入力シート!BE$8))</f>
        <v>83.702958202903545</v>
      </c>
      <c r="DL19" s="10">
        <f>IF(管理者入力シート!$B$14=1,DK16*管理者用人口入力シート!BF$4,IF(管理者入力シート!$B$14=2,DK16*管理者用人口入力シート!BF$8))</f>
        <v>15.755200709716066</v>
      </c>
      <c r="DM19" s="10">
        <f t="shared" si="260"/>
        <v>1858.4013002739969</v>
      </c>
      <c r="DN19" s="10">
        <f t="shared" si="261"/>
        <v>76.45565923760158</v>
      </c>
      <c r="DO19" s="10">
        <f t="shared" si="262"/>
        <v>39.857528897891655</v>
      </c>
      <c r="DP19" s="10">
        <f t="shared" si="263"/>
        <v>982.25550223059236</v>
      </c>
      <c r="DQ19" s="10">
        <f t="shared" si="264"/>
        <v>675.78209936625103</v>
      </c>
      <c r="DR19" s="14">
        <f t="shared" si="265"/>
        <v>0.5285486520515088</v>
      </c>
      <c r="DS19" s="14">
        <f t="shared" si="266"/>
        <v>0.36363626051413966</v>
      </c>
      <c r="DT19" s="10">
        <f t="shared" si="267"/>
        <v>222.24802634085461</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87.129463703962813</v>
      </c>
      <c r="BL20" s="16">
        <f t="shared" ref="BL20:CE20" si="276">BL18+BL19</f>
        <v>117.00349863028049</v>
      </c>
      <c r="BM20" s="16">
        <f t="shared" si="276"/>
        <v>133.38149608228372</v>
      </c>
      <c r="BN20" s="16">
        <f t="shared" si="276"/>
        <v>116.84092218672762</v>
      </c>
      <c r="BO20" s="16">
        <f t="shared" si="276"/>
        <v>86.733133910745707</v>
      </c>
      <c r="BP20" s="16">
        <f t="shared" si="276"/>
        <v>91.397121765599451</v>
      </c>
      <c r="BQ20" s="16">
        <f t="shared" si="276"/>
        <v>111.87355730105145</v>
      </c>
      <c r="BR20" s="16">
        <f t="shared" si="276"/>
        <v>140.12062668761592</v>
      </c>
      <c r="BS20" s="16">
        <f t="shared" si="276"/>
        <v>136.61468734320903</v>
      </c>
      <c r="BT20" s="16">
        <f t="shared" si="276"/>
        <v>150.47742119142151</v>
      </c>
      <c r="BU20" s="16">
        <f t="shared" si="276"/>
        <v>138.48945471386719</v>
      </c>
      <c r="BV20" s="16">
        <f t="shared" si="276"/>
        <v>187.33968469601058</v>
      </c>
      <c r="BW20" s="16">
        <f t="shared" si="276"/>
        <v>253.56578986655038</v>
      </c>
      <c r="BX20" s="16">
        <f t="shared" si="276"/>
        <v>296.92631218078282</v>
      </c>
      <c r="BY20" s="16">
        <f t="shared" si="276"/>
        <v>280.51274821258284</v>
      </c>
      <c r="BZ20" s="16">
        <f t="shared" si="276"/>
        <v>240.34762043970107</v>
      </c>
      <c r="CA20" s="16">
        <f t="shared" si="276"/>
        <v>224.94097134965745</v>
      </c>
      <c r="CB20" s="16">
        <f t="shared" si="276"/>
        <v>228.89668358375457</v>
      </c>
      <c r="CC20" s="16">
        <f t="shared" si="276"/>
        <v>205.17890212699069</v>
      </c>
      <c r="CD20" s="16">
        <f t="shared" si="276"/>
        <v>99.705864927507406</v>
      </c>
      <c r="CE20" s="16">
        <f t="shared" si="276"/>
        <v>18.959283401971057</v>
      </c>
      <c r="CF20" s="11">
        <f t="shared" si="252"/>
        <v>3346.4352443022735</v>
      </c>
      <c r="CG20" s="11">
        <f t="shared" si="253"/>
        <v>150.23099682753855</v>
      </c>
      <c r="CH20" s="11">
        <f t="shared" si="254"/>
        <v>76.720782870259015</v>
      </c>
      <c r="CI20" s="11">
        <f t="shared" si="255"/>
        <v>1595.4683862229481</v>
      </c>
      <c r="CJ20" s="11">
        <f t="shared" si="256"/>
        <v>1018.0293258295823</v>
      </c>
      <c r="CK20" s="15">
        <f t="shared" si="257"/>
        <v>0.47676654999956553</v>
      </c>
      <c r="CL20" s="15">
        <f t="shared" si="258"/>
        <v>0.30421306599699038</v>
      </c>
      <c r="CM20" s="11">
        <f t="shared" si="259"/>
        <v>430.12443966501252</v>
      </c>
      <c r="CO20" s="7" t="str">
        <f t="shared" si="26"/>
        <v>2050_3</v>
      </c>
      <c r="CP20" s="30">
        <f>CP19</f>
        <v>2050</v>
      </c>
      <c r="CQ20" s="5" t="s">
        <v>23</v>
      </c>
      <c r="CR20" s="16">
        <f>CR18+CR19</f>
        <v>93.268738140116625</v>
      </c>
      <c r="CS20" s="16">
        <f t="shared" ref="CS20:DL20" si="277">CS18+CS19</f>
        <v>123.26739620480093</v>
      </c>
      <c r="CT20" s="16">
        <f t="shared" si="277"/>
        <v>141.33012631502336</v>
      </c>
      <c r="CU20" s="16">
        <f t="shared" si="277"/>
        <v>123.43797233171293</v>
      </c>
      <c r="CV20" s="16">
        <f t="shared" si="277"/>
        <v>90.510037807037904</v>
      </c>
      <c r="CW20" s="16">
        <f t="shared" si="277"/>
        <v>97.754330940110549</v>
      </c>
      <c r="CX20" s="16">
        <f t="shared" si="277"/>
        <v>116.80640535650485</v>
      </c>
      <c r="CY20" s="16">
        <f t="shared" si="277"/>
        <v>145.31421148460271</v>
      </c>
      <c r="CZ20" s="16">
        <f t="shared" si="277"/>
        <v>141.75889560940206</v>
      </c>
      <c r="DA20" s="16">
        <f t="shared" si="277"/>
        <v>155.75775443732812</v>
      </c>
      <c r="DB20" s="16">
        <f t="shared" si="277"/>
        <v>143.66716750019467</v>
      </c>
      <c r="DC20" s="16">
        <f t="shared" si="277"/>
        <v>188.3197724780328</v>
      </c>
      <c r="DD20" s="16">
        <f t="shared" si="277"/>
        <v>254.52846414990245</v>
      </c>
      <c r="DE20" s="16">
        <f t="shared" si="277"/>
        <v>297.88073270504481</v>
      </c>
      <c r="DF20" s="16">
        <f t="shared" si="277"/>
        <v>280.51274821258284</v>
      </c>
      <c r="DG20" s="16">
        <f t="shared" si="277"/>
        <v>240.34762043970107</v>
      </c>
      <c r="DH20" s="16">
        <f t="shared" si="277"/>
        <v>224.94097134965745</v>
      </c>
      <c r="DI20" s="16">
        <f t="shared" si="277"/>
        <v>228.89668358375457</v>
      </c>
      <c r="DJ20" s="16">
        <f t="shared" si="277"/>
        <v>205.17890212699069</v>
      </c>
      <c r="DK20" s="16">
        <f t="shared" si="277"/>
        <v>99.705864927507406</v>
      </c>
      <c r="DL20" s="16">
        <f t="shared" si="277"/>
        <v>18.959283401971057</v>
      </c>
      <c r="DM20" s="11">
        <f t="shared" si="260"/>
        <v>3412.1440795019794</v>
      </c>
      <c r="DN20" s="11">
        <f t="shared" si="261"/>
        <v>158.75851351189459</v>
      </c>
      <c r="DO20" s="11">
        <f t="shared" si="262"/>
        <v>81.219644992351931</v>
      </c>
      <c r="DP20" s="11">
        <f t="shared" si="263"/>
        <v>1596.42280674721</v>
      </c>
      <c r="DQ20" s="11">
        <f t="shared" si="264"/>
        <v>1018.0293258295823</v>
      </c>
      <c r="DR20" s="15">
        <f t="shared" si="265"/>
        <v>0.46786500497957179</v>
      </c>
      <c r="DS20" s="15">
        <f t="shared" si="266"/>
        <v>0.29835473007873953</v>
      </c>
      <c r="DT20" s="11">
        <f t="shared" si="267"/>
        <v>450.38498558825603</v>
      </c>
      <c r="DX20" s="28">
        <f>DX3</f>
        <v>2025</v>
      </c>
      <c r="DY20" s="3" t="s">
        <v>21</v>
      </c>
      <c r="DZ20" s="9">
        <f t="shared" ref="DZ20:ET20" si="278">ROUND(DZ3,0)</f>
        <v>73</v>
      </c>
      <c r="EA20" s="9">
        <f t="shared" si="278"/>
        <v>108</v>
      </c>
      <c r="EB20" s="9">
        <f t="shared" si="278"/>
        <v>131</v>
      </c>
      <c r="EC20" s="9">
        <f t="shared" si="278"/>
        <v>98</v>
      </c>
      <c r="ED20" s="9">
        <f t="shared" si="278"/>
        <v>83</v>
      </c>
      <c r="EE20" s="9">
        <f t="shared" si="278"/>
        <v>121</v>
      </c>
      <c r="EF20" s="9">
        <f t="shared" si="278"/>
        <v>145</v>
      </c>
      <c r="EG20" s="9">
        <f t="shared" si="278"/>
        <v>179</v>
      </c>
      <c r="EH20" s="9">
        <f t="shared" si="278"/>
        <v>157</v>
      </c>
      <c r="EI20" s="9">
        <f t="shared" si="278"/>
        <v>144</v>
      </c>
      <c r="EJ20" s="9">
        <f t="shared" si="278"/>
        <v>150</v>
      </c>
      <c r="EK20" s="9">
        <f t="shared" si="278"/>
        <v>138</v>
      </c>
      <c r="EL20" s="9">
        <f t="shared" si="278"/>
        <v>160</v>
      </c>
      <c r="EM20" s="9">
        <f t="shared" si="278"/>
        <v>212</v>
      </c>
      <c r="EN20" s="9">
        <f t="shared" si="278"/>
        <v>232</v>
      </c>
      <c r="EO20" s="9">
        <f t="shared" si="278"/>
        <v>203</v>
      </c>
      <c r="EP20" s="9">
        <f t="shared" si="278"/>
        <v>103</v>
      </c>
      <c r="EQ20" s="9">
        <f t="shared" si="278"/>
        <v>80</v>
      </c>
      <c r="ER20" s="9">
        <f t="shared" si="278"/>
        <v>43</v>
      </c>
      <c r="ES20" s="9">
        <f t="shared" si="278"/>
        <v>10</v>
      </c>
      <c r="ET20" s="9">
        <f t="shared" si="278"/>
        <v>1</v>
      </c>
      <c r="EU20" s="9">
        <f t="shared" ref="EU20:EU21" si="279">SUM(DZ20:ET20)</f>
        <v>2571</v>
      </c>
      <c r="EV20" s="9">
        <f>EA20*3/5+EB20*3/5</f>
        <v>143.39999999999998</v>
      </c>
      <c r="EW20" s="9">
        <f>EB20*2/5+EC20*1/5</f>
        <v>72</v>
      </c>
      <c r="EX20" s="9">
        <f t="shared" ref="EX20:EX31" si="280">SUM(EM20:ET20)</f>
        <v>884</v>
      </c>
      <c r="EY20" s="9">
        <f>SUM(EO20:ET20)</f>
        <v>440</v>
      </c>
      <c r="EZ20" s="13">
        <f>EX20/EU20</f>
        <v>0.34383508362504861</v>
      </c>
      <c r="FA20" s="13">
        <f>EY20/EU20</f>
        <v>0.17113963438350835</v>
      </c>
      <c r="FB20" s="9">
        <f>SUM(ED20:EG20)</f>
        <v>528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68</v>
      </c>
      <c r="EA21" s="10">
        <f t="shared" si="281"/>
        <v>98</v>
      </c>
      <c r="EB21" s="10">
        <f t="shared" si="281"/>
        <v>126</v>
      </c>
      <c r="EC21" s="10">
        <f t="shared" si="281"/>
        <v>116</v>
      </c>
      <c r="ED21" s="10">
        <f t="shared" si="281"/>
        <v>75</v>
      </c>
      <c r="EE21" s="10">
        <f t="shared" si="281"/>
        <v>110</v>
      </c>
      <c r="EF21" s="10">
        <f t="shared" si="281"/>
        <v>133</v>
      </c>
      <c r="EG21" s="10">
        <f t="shared" si="281"/>
        <v>176</v>
      </c>
      <c r="EH21" s="10">
        <f t="shared" si="281"/>
        <v>157</v>
      </c>
      <c r="EI21" s="10">
        <f t="shared" si="281"/>
        <v>173</v>
      </c>
      <c r="EJ21" s="10">
        <f t="shared" si="281"/>
        <v>144</v>
      </c>
      <c r="EK21" s="10">
        <f t="shared" si="281"/>
        <v>152</v>
      </c>
      <c r="EL21" s="10">
        <f t="shared" si="281"/>
        <v>168</v>
      </c>
      <c r="EM21" s="10">
        <f t="shared" si="281"/>
        <v>240</v>
      </c>
      <c r="EN21" s="10">
        <f t="shared" si="281"/>
        <v>265</v>
      </c>
      <c r="EO21" s="10">
        <f t="shared" si="281"/>
        <v>232</v>
      </c>
      <c r="EP21" s="10">
        <f t="shared" si="281"/>
        <v>174</v>
      </c>
      <c r="EQ21" s="10">
        <f t="shared" si="281"/>
        <v>181</v>
      </c>
      <c r="ER21" s="10">
        <f t="shared" si="281"/>
        <v>134</v>
      </c>
      <c r="ES21" s="10">
        <f t="shared" si="281"/>
        <v>55</v>
      </c>
      <c r="ET21" s="10">
        <f t="shared" si="281"/>
        <v>11</v>
      </c>
      <c r="EU21" s="10">
        <f t="shared" si="279"/>
        <v>2988</v>
      </c>
      <c r="EV21" s="10">
        <f t="shared" ref="EV21:EV31" si="282">EA21*3/5+EB21*3/5</f>
        <v>134.39999999999998</v>
      </c>
      <c r="EW21" s="10">
        <f t="shared" ref="EW21:EW31" si="283">EB21*2/5+EC21*1/5</f>
        <v>73.599999999999994</v>
      </c>
      <c r="EX21" s="10">
        <f t="shared" si="280"/>
        <v>1292</v>
      </c>
      <c r="EY21" s="10">
        <f t="shared" ref="EY21:EY31" si="284">SUM(EO21:ET21)</f>
        <v>787</v>
      </c>
      <c r="EZ21" s="14">
        <f t="shared" ref="EZ21:EZ31" si="285">EX21/EU21</f>
        <v>0.4323962516733601</v>
      </c>
      <c r="FA21" s="14">
        <f t="shared" ref="FA21:FA31" si="286">EY21/EU21</f>
        <v>0.26338688085676037</v>
      </c>
      <c r="FB21" s="10">
        <f>SUM(ED21:EG21)</f>
        <v>494</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141</v>
      </c>
      <c r="EA22" s="16">
        <f t="shared" ref="EA22:ET22" si="287">EA20+EA21</f>
        <v>206</v>
      </c>
      <c r="EB22" s="16">
        <f t="shared" si="287"/>
        <v>257</v>
      </c>
      <c r="EC22" s="16">
        <f t="shared" si="287"/>
        <v>214</v>
      </c>
      <c r="ED22" s="16">
        <f t="shared" si="287"/>
        <v>158</v>
      </c>
      <c r="EE22" s="16">
        <f t="shared" si="287"/>
        <v>231</v>
      </c>
      <c r="EF22" s="16">
        <f t="shared" si="287"/>
        <v>278</v>
      </c>
      <c r="EG22" s="16">
        <f t="shared" si="287"/>
        <v>355</v>
      </c>
      <c r="EH22" s="16">
        <f t="shared" si="287"/>
        <v>314</v>
      </c>
      <c r="EI22" s="16">
        <f t="shared" si="287"/>
        <v>317</v>
      </c>
      <c r="EJ22" s="16">
        <f t="shared" si="287"/>
        <v>294</v>
      </c>
      <c r="EK22" s="16">
        <f t="shared" si="287"/>
        <v>290</v>
      </c>
      <c r="EL22" s="16">
        <f t="shared" si="287"/>
        <v>328</v>
      </c>
      <c r="EM22" s="16">
        <f t="shared" si="287"/>
        <v>452</v>
      </c>
      <c r="EN22" s="16">
        <f t="shared" si="287"/>
        <v>497</v>
      </c>
      <c r="EO22" s="16">
        <f t="shared" si="287"/>
        <v>435</v>
      </c>
      <c r="EP22" s="16">
        <f t="shared" si="287"/>
        <v>277</v>
      </c>
      <c r="EQ22" s="16">
        <f t="shared" si="287"/>
        <v>261</v>
      </c>
      <c r="ER22" s="16">
        <f t="shared" si="287"/>
        <v>177</v>
      </c>
      <c r="ES22" s="16">
        <f t="shared" si="287"/>
        <v>65</v>
      </c>
      <c r="ET22" s="16">
        <f t="shared" si="287"/>
        <v>12</v>
      </c>
      <c r="EU22" s="11">
        <f>SUM(DZ22:ET22)</f>
        <v>5559</v>
      </c>
      <c r="EV22" s="11">
        <f t="shared" si="282"/>
        <v>277.79999999999995</v>
      </c>
      <c r="EW22" s="11">
        <f t="shared" si="283"/>
        <v>145.6</v>
      </c>
      <c r="EX22" s="11">
        <f t="shared" si="280"/>
        <v>2176</v>
      </c>
      <c r="EY22" s="11">
        <f t="shared" si="284"/>
        <v>1227</v>
      </c>
      <c r="EZ22" s="15">
        <f t="shared" si="285"/>
        <v>0.39143730886850153</v>
      </c>
      <c r="FA22" s="15">
        <f t="shared" si="286"/>
        <v>0.2207231516459795</v>
      </c>
      <c r="FB22" s="11">
        <f>SUM(ED22:EG22)</f>
        <v>1022</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115</v>
      </c>
      <c r="EA23" s="9">
        <f t="shared" si="288"/>
        <v>86</v>
      </c>
      <c r="EB23" s="9">
        <f t="shared" si="288"/>
        <v>111</v>
      </c>
      <c r="EC23" s="9">
        <f t="shared" si="288"/>
        <v>110</v>
      </c>
      <c r="ED23" s="9">
        <f t="shared" si="288"/>
        <v>65</v>
      </c>
      <c r="EE23" s="9">
        <f t="shared" si="288"/>
        <v>126</v>
      </c>
      <c r="EF23" s="9">
        <f t="shared" si="288"/>
        <v>174</v>
      </c>
      <c r="EG23" s="9">
        <f t="shared" si="288"/>
        <v>200</v>
      </c>
      <c r="EH23" s="9">
        <f t="shared" si="288"/>
        <v>180</v>
      </c>
      <c r="EI23" s="9">
        <f t="shared" si="288"/>
        <v>161</v>
      </c>
      <c r="EJ23" s="9">
        <f t="shared" si="288"/>
        <v>147</v>
      </c>
      <c r="EK23" s="9">
        <f t="shared" si="288"/>
        <v>144</v>
      </c>
      <c r="EL23" s="9">
        <f t="shared" si="288"/>
        <v>138</v>
      </c>
      <c r="EM23" s="9">
        <f t="shared" si="288"/>
        <v>149</v>
      </c>
      <c r="EN23" s="9">
        <f t="shared" si="288"/>
        <v>200</v>
      </c>
      <c r="EO23" s="9">
        <f t="shared" si="288"/>
        <v>201</v>
      </c>
      <c r="EP23" s="9">
        <f t="shared" si="288"/>
        <v>170</v>
      </c>
      <c r="EQ23" s="9">
        <f t="shared" si="288"/>
        <v>77</v>
      </c>
      <c r="ER23" s="9">
        <f t="shared" si="288"/>
        <v>38</v>
      </c>
      <c r="ES23" s="9">
        <f t="shared" si="288"/>
        <v>12</v>
      </c>
      <c r="ET23" s="9">
        <f t="shared" si="288"/>
        <v>2</v>
      </c>
      <c r="EU23" s="9">
        <f t="shared" ref="EU23:EU31" si="289">SUM(DZ23:ET23)</f>
        <v>2606</v>
      </c>
      <c r="EV23" s="9">
        <f t="shared" si="282"/>
        <v>118.19999999999999</v>
      </c>
      <c r="EW23" s="9">
        <f t="shared" si="283"/>
        <v>66.400000000000006</v>
      </c>
      <c r="EX23" s="9">
        <f t="shared" si="280"/>
        <v>849</v>
      </c>
      <c r="EY23" s="9">
        <f t="shared" si="284"/>
        <v>500</v>
      </c>
      <c r="EZ23" s="13">
        <f t="shared" si="285"/>
        <v>0.32578664620107445</v>
      </c>
      <c r="FA23" s="13">
        <f t="shared" si="286"/>
        <v>0.19186492709132771</v>
      </c>
      <c r="FB23" s="9">
        <f t="shared" ref="FB23:FB31" si="290">SUM(ED23:EG23)</f>
        <v>565</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108</v>
      </c>
      <c r="EA24" s="10">
        <f t="shared" si="291"/>
        <v>78</v>
      </c>
      <c r="EB24" s="10">
        <f t="shared" si="291"/>
        <v>105</v>
      </c>
      <c r="EC24" s="10">
        <f t="shared" si="291"/>
        <v>111</v>
      </c>
      <c r="ED24" s="10">
        <f t="shared" si="291"/>
        <v>83</v>
      </c>
      <c r="EE24" s="10">
        <f t="shared" si="291"/>
        <v>115</v>
      </c>
      <c r="EF24" s="10">
        <f t="shared" si="291"/>
        <v>152</v>
      </c>
      <c r="EG24" s="10">
        <f t="shared" si="291"/>
        <v>192</v>
      </c>
      <c r="EH24" s="10">
        <f t="shared" si="291"/>
        <v>178</v>
      </c>
      <c r="EI24" s="10">
        <f t="shared" si="291"/>
        <v>161</v>
      </c>
      <c r="EJ24" s="10">
        <f t="shared" si="291"/>
        <v>165</v>
      </c>
      <c r="EK24" s="10">
        <f t="shared" si="291"/>
        <v>144</v>
      </c>
      <c r="EL24" s="10">
        <f t="shared" si="291"/>
        <v>149</v>
      </c>
      <c r="EM24" s="10">
        <f t="shared" si="291"/>
        <v>167</v>
      </c>
      <c r="EN24" s="10">
        <f t="shared" si="291"/>
        <v>233</v>
      </c>
      <c r="EO24" s="10">
        <f t="shared" si="291"/>
        <v>255</v>
      </c>
      <c r="EP24" s="10">
        <f t="shared" si="291"/>
        <v>231</v>
      </c>
      <c r="EQ24" s="10">
        <f t="shared" si="291"/>
        <v>173</v>
      </c>
      <c r="ER24" s="10">
        <f t="shared" si="291"/>
        <v>127</v>
      </c>
      <c r="ES24" s="10">
        <f t="shared" si="291"/>
        <v>64</v>
      </c>
      <c r="ET24" s="10">
        <f t="shared" si="291"/>
        <v>11</v>
      </c>
      <c r="EU24" s="10">
        <f t="shared" si="289"/>
        <v>3002</v>
      </c>
      <c r="EV24" s="10">
        <f t="shared" si="282"/>
        <v>109.8</v>
      </c>
      <c r="EW24" s="10">
        <f t="shared" si="283"/>
        <v>64.2</v>
      </c>
      <c r="EX24" s="10">
        <f t="shared" si="280"/>
        <v>1261</v>
      </c>
      <c r="EY24" s="10">
        <f t="shared" si="284"/>
        <v>861</v>
      </c>
      <c r="EZ24" s="14">
        <f t="shared" si="285"/>
        <v>0.42005329780146566</v>
      </c>
      <c r="FA24" s="14">
        <f t="shared" si="286"/>
        <v>0.28680879413724186</v>
      </c>
      <c r="FB24" s="10">
        <f t="shared" si="290"/>
        <v>542</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223</v>
      </c>
      <c r="EA25" s="16">
        <f t="shared" ref="EA25:ET25" si="292">EA23+EA24</f>
        <v>164</v>
      </c>
      <c r="EB25" s="16">
        <f t="shared" si="292"/>
        <v>216</v>
      </c>
      <c r="EC25" s="16">
        <f t="shared" si="292"/>
        <v>221</v>
      </c>
      <c r="ED25" s="16">
        <f t="shared" si="292"/>
        <v>148</v>
      </c>
      <c r="EE25" s="16">
        <f t="shared" si="292"/>
        <v>241</v>
      </c>
      <c r="EF25" s="16">
        <f t="shared" si="292"/>
        <v>326</v>
      </c>
      <c r="EG25" s="16">
        <f t="shared" si="292"/>
        <v>392</v>
      </c>
      <c r="EH25" s="16">
        <f t="shared" si="292"/>
        <v>358</v>
      </c>
      <c r="EI25" s="16">
        <f t="shared" si="292"/>
        <v>322</v>
      </c>
      <c r="EJ25" s="16">
        <f t="shared" si="292"/>
        <v>312</v>
      </c>
      <c r="EK25" s="16">
        <f t="shared" si="292"/>
        <v>288</v>
      </c>
      <c r="EL25" s="16">
        <f t="shared" si="292"/>
        <v>287</v>
      </c>
      <c r="EM25" s="16">
        <f t="shared" si="292"/>
        <v>316</v>
      </c>
      <c r="EN25" s="16">
        <f t="shared" si="292"/>
        <v>433</v>
      </c>
      <c r="EO25" s="16">
        <f t="shared" si="292"/>
        <v>456</v>
      </c>
      <c r="EP25" s="16">
        <f t="shared" si="292"/>
        <v>401</v>
      </c>
      <c r="EQ25" s="16">
        <f t="shared" si="292"/>
        <v>250</v>
      </c>
      <c r="ER25" s="16">
        <f t="shared" si="292"/>
        <v>165</v>
      </c>
      <c r="ES25" s="16">
        <f t="shared" si="292"/>
        <v>76</v>
      </c>
      <c r="ET25" s="16">
        <f t="shared" si="292"/>
        <v>13</v>
      </c>
      <c r="EU25" s="11">
        <f t="shared" si="289"/>
        <v>5608</v>
      </c>
      <c r="EV25" s="11">
        <f t="shared" si="282"/>
        <v>228</v>
      </c>
      <c r="EW25" s="11">
        <f t="shared" si="283"/>
        <v>130.60000000000002</v>
      </c>
      <c r="EX25" s="11">
        <f t="shared" si="280"/>
        <v>2110</v>
      </c>
      <c r="EY25" s="11">
        <f t="shared" si="284"/>
        <v>1361</v>
      </c>
      <c r="EZ25" s="15">
        <f t="shared" si="285"/>
        <v>0.37624821683309556</v>
      </c>
      <c r="FA25" s="15">
        <f t="shared" si="286"/>
        <v>0.24268901569186876</v>
      </c>
      <c r="FB25" s="11">
        <f t="shared" si="290"/>
        <v>1107</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121</v>
      </c>
      <c r="EA26" s="9">
        <f t="shared" si="293"/>
        <v>136</v>
      </c>
      <c r="EB26" s="9">
        <f t="shared" si="293"/>
        <v>89</v>
      </c>
      <c r="EC26" s="9">
        <f t="shared" si="293"/>
        <v>93</v>
      </c>
      <c r="ED26" s="9">
        <f t="shared" si="293"/>
        <v>73</v>
      </c>
      <c r="EE26" s="9">
        <f t="shared" si="293"/>
        <v>110</v>
      </c>
      <c r="EF26" s="9">
        <f t="shared" si="293"/>
        <v>180</v>
      </c>
      <c r="EG26" s="9">
        <f t="shared" si="293"/>
        <v>230</v>
      </c>
      <c r="EH26" s="9">
        <f t="shared" si="293"/>
        <v>202</v>
      </c>
      <c r="EI26" s="9">
        <f t="shared" si="293"/>
        <v>185</v>
      </c>
      <c r="EJ26" s="9">
        <f t="shared" si="293"/>
        <v>163</v>
      </c>
      <c r="EK26" s="9">
        <f t="shared" si="293"/>
        <v>141</v>
      </c>
      <c r="EL26" s="9">
        <f t="shared" si="293"/>
        <v>144</v>
      </c>
      <c r="EM26" s="9">
        <f t="shared" si="293"/>
        <v>129</v>
      </c>
      <c r="EN26" s="9">
        <f t="shared" si="293"/>
        <v>140</v>
      </c>
      <c r="EO26" s="9">
        <f t="shared" si="293"/>
        <v>173</v>
      </c>
      <c r="EP26" s="9">
        <f t="shared" si="293"/>
        <v>168</v>
      </c>
      <c r="EQ26" s="9">
        <f t="shared" si="293"/>
        <v>126</v>
      </c>
      <c r="ER26" s="9">
        <f t="shared" si="293"/>
        <v>36</v>
      </c>
      <c r="ES26" s="9">
        <f t="shared" si="293"/>
        <v>10</v>
      </c>
      <c r="ET26" s="9">
        <f t="shared" si="293"/>
        <v>2</v>
      </c>
      <c r="EU26" s="9">
        <f t="shared" si="289"/>
        <v>2651</v>
      </c>
      <c r="EV26" s="9">
        <f t="shared" si="282"/>
        <v>135</v>
      </c>
      <c r="EW26" s="9">
        <f t="shared" si="283"/>
        <v>54.2</v>
      </c>
      <c r="EX26" s="9">
        <f t="shared" si="280"/>
        <v>784</v>
      </c>
      <c r="EY26" s="9">
        <f t="shared" si="284"/>
        <v>515</v>
      </c>
      <c r="EZ26" s="13">
        <f t="shared" si="285"/>
        <v>0.2957374575631837</v>
      </c>
      <c r="FA26" s="13">
        <f t="shared" si="286"/>
        <v>0.19426631459826479</v>
      </c>
      <c r="FB26" s="9">
        <f t="shared" si="290"/>
        <v>593</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113</v>
      </c>
      <c r="EA27" s="10">
        <f t="shared" si="294"/>
        <v>123</v>
      </c>
      <c r="EB27" s="10">
        <f t="shared" si="294"/>
        <v>84</v>
      </c>
      <c r="EC27" s="10">
        <f t="shared" si="294"/>
        <v>93</v>
      </c>
      <c r="ED27" s="10">
        <f t="shared" si="294"/>
        <v>79</v>
      </c>
      <c r="EE27" s="10">
        <f t="shared" si="294"/>
        <v>122</v>
      </c>
      <c r="EF27" s="10">
        <f t="shared" si="294"/>
        <v>156</v>
      </c>
      <c r="EG27" s="10">
        <f t="shared" si="294"/>
        <v>213</v>
      </c>
      <c r="EH27" s="10">
        <f t="shared" si="294"/>
        <v>194</v>
      </c>
      <c r="EI27" s="10">
        <f t="shared" si="294"/>
        <v>183</v>
      </c>
      <c r="EJ27" s="10">
        <f t="shared" si="294"/>
        <v>154</v>
      </c>
      <c r="EK27" s="10">
        <f t="shared" si="294"/>
        <v>165</v>
      </c>
      <c r="EL27" s="10">
        <f t="shared" si="294"/>
        <v>141</v>
      </c>
      <c r="EM27" s="10">
        <f t="shared" si="294"/>
        <v>148</v>
      </c>
      <c r="EN27" s="10">
        <f t="shared" si="294"/>
        <v>162</v>
      </c>
      <c r="EO27" s="10">
        <f t="shared" si="294"/>
        <v>224</v>
      </c>
      <c r="EP27" s="10">
        <f t="shared" si="294"/>
        <v>254</v>
      </c>
      <c r="EQ27" s="10">
        <f t="shared" si="294"/>
        <v>229</v>
      </c>
      <c r="ER27" s="10">
        <f t="shared" si="294"/>
        <v>121</v>
      </c>
      <c r="ES27" s="10">
        <f t="shared" si="294"/>
        <v>60</v>
      </c>
      <c r="ET27" s="10">
        <f t="shared" si="294"/>
        <v>13</v>
      </c>
      <c r="EU27" s="10">
        <f t="shared" si="289"/>
        <v>3031</v>
      </c>
      <c r="EV27" s="10">
        <f t="shared" si="282"/>
        <v>124.19999999999999</v>
      </c>
      <c r="EW27" s="10">
        <f t="shared" si="283"/>
        <v>52.2</v>
      </c>
      <c r="EX27" s="10">
        <f t="shared" si="280"/>
        <v>1211</v>
      </c>
      <c r="EY27" s="10">
        <f t="shared" si="284"/>
        <v>901</v>
      </c>
      <c r="EZ27" s="14">
        <f t="shared" si="285"/>
        <v>0.39953810623556579</v>
      </c>
      <c r="FA27" s="14">
        <f t="shared" si="286"/>
        <v>0.29726162982514021</v>
      </c>
      <c r="FB27" s="10">
        <f t="shared" si="290"/>
        <v>570</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234</v>
      </c>
      <c r="EA28" s="16">
        <f t="shared" ref="EA28:ET28" si="295">EA26+EA27</f>
        <v>259</v>
      </c>
      <c r="EB28" s="16">
        <f t="shared" si="295"/>
        <v>173</v>
      </c>
      <c r="EC28" s="16">
        <f t="shared" si="295"/>
        <v>186</v>
      </c>
      <c r="ED28" s="16">
        <f t="shared" si="295"/>
        <v>152</v>
      </c>
      <c r="EE28" s="16">
        <f t="shared" si="295"/>
        <v>232</v>
      </c>
      <c r="EF28" s="16">
        <f t="shared" si="295"/>
        <v>336</v>
      </c>
      <c r="EG28" s="16">
        <f t="shared" si="295"/>
        <v>443</v>
      </c>
      <c r="EH28" s="16">
        <f t="shared" si="295"/>
        <v>396</v>
      </c>
      <c r="EI28" s="16">
        <f t="shared" si="295"/>
        <v>368</v>
      </c>
      <c r="EJ28" s="16">
        <f t="shared" si="295"/>
        <v>317</v>
      </c>
      <c r="EK28" s="16">
        <f t="shared" si="295"/>
        <v>306</v>
      </c>
      <c r="EL28" s="16">
        <f t="shared" si="295"/>
        <v>285</v>
      </c>
      <c r="EM28" s="16">
        <f t="shared" si="295"/>
        <v>277</v>
      </c>
      <c r="EN28" s="16">
        <f t="shared" si="295"/>
        <v>302</v>
      </c>
      <c r="EO28" s="16">
        <f t="shared" si="295"/>
        <v>397</v>
      </c>
      <c r="EP28" s="16">
        <f t="shared" si="295"/>
        <v>422</v>
      </c>
      <c r="EQ28" s="16">
        <f t="shared" si="295"/>
        <v>355</v>
      </c>
      <c r="ER28" s="16">
        <f t="shared" si="295"/>
        <v>157</v>
      </c>
      <c r="ES28" s="16">
        <f t="shared" si="295"/>
        <v>70</v>
      </c>
      <c r="ET28" s="16">
        <f t="shared" si="295"/>
        <v>15</v>
      </c>
      <c r="EU28" s="11">
        <f t="shared" si="289"/>
        <v>5682</v>
      </c>
      <c r="EV28" s="11">
        <f t="shared" si="282"/>
        <v>259.2</v>
      </c>
      <c r="EW28" s="11">
        <f t="shared" si="283"/>
        <v>106.4</v>
      </c>
      <c r="EX28" s="11">
        <f t="shared" si="280"/>
        <v>1995</v>
      </c>
      <c r="EY28" s="11">
        <f t="shared" si="284"/>
        <v>1416</v>
      </c>
      <c r="EZ28" s="15">
        <f t="shared" si="285"/>
        <v>0.35110876451953538</v>
      </c>
      <c r="FA28" s="15">
        <f t="shared" si="286"/>
        <v>0.249208025343189</v>
      </c>
      <c r="FB28" s="11">
        <f t="shared" si="290"/>
        <v>1163</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120</v>
      </c>
      <c r="EA29" s="9">
        <f t="shared" si="296"/>
        <v>143</v>
      </c>
      <c r="EB29" s="9">
        <f t="shared" si="296"/>
        <v>139</v>
      </c>
      <c r="EC29" s="9">
        <f t="shared" si="296"/>
        <v>74</v>
      </c>
      <c r="ED29" s="9">
        <f t="shared" si="296"/>
        <v>62</v>
      </c>
      <c r="EE29" s="9">
        <f t="shared" si="296"/>
        <v>117</v>
      </c>
      <c r="EF29" s="9">
        <f t="shared" si="296"/>
        <v>163</v>
      </c>
      <c r="EG29" s="9">
        <f t="shared" si="296"/>
        <v>236</v>
      </c>
      <c r="EH29" s="9">
        <f t="shared" si="296"/>
        <v>232</v>
      </c>
      <c r="EI29" s="9">
        <f t="shared" si="296"/>
        <v>207</v>
      </c>
      <c r="EJ29" s="9">
        <f t="shared" si="296"/>
        <v>188</v>
      </c>
      <c r="EK29" s="9">
        <f t="shared" si="296"/>
        <v>157</v>
      </c>
      <c r="EL29" s="9">
        <f t="shared" si="296"/>
        <v>142</v>
      </c>
      <c r="EM29" s="9">
        <f t="shared" si="296"/>
        <v>135</v>
      </c>
      <c r="EN29" s="9">
        <f t="shared" si="296"/>
        <v>122</v>
      </c>
      <c r="EO29" s="9">
        <f t="shared" si="296"/>
        <v>121</v>
      </c>
      <c r="EP29" s="9">
        <f t="shared" si="296"/>
        <v>144</v>
      </c>
      <c r="EQ29" s="9">
        <f t="shared" si="296"/>
        <v>124</v>
      </c>
      <c r="ER29" s="9">
        <f t="shared" si="296"/>
        <v>59</v>
      </c>
      <c r="ES29" s="9">
        <f t="shared" si="296"/>
        <v>10</v>
      </c>
      <c r="ET29" s="9">
        <f t="shared" si="296"/>
        <v>2</v>
      </c>
      <c r="EU29" s="9">
        <f t="shared" si="289"/>
        <v>2697</v>
      </c>
      <c r="EV29" s="9">
        <f t="shared" si="282"/>
        <v>169.2</v>
      </c>
      <c r="EW29" s="9">
        <f t="shared" si="283"/>
        <v>70.400000000000006</v>
      </c>
      <c r="EX29" s="9">
        <f t="shared" si="280"/>
        <v>717</v>
      </c>
      <c r="EY29" s="9">
        <f t="shared" si="284"/>
        <v>460</v>
      </c>
      <c r="EZ29" s="13">
        <f t="shared" si="285"/>
        <v>0.26585094549499444</v>
      </c>
      <c r="FA29" s="13">
        <f t="shared" si="286"/>
        <v>0.17055988134964775</v>
      </c>
      <c r="FB29" s="9">
        <f t="shared" si="290"/>
        <v>578</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112</v>
      </c>
      <c r="EA30" s="10">
        <f t="shared" si="297"/>
        <v>129</v>
      </c>
      <c r="EB30" s="10">
        <f t="shared" si="297"/>
        <v>132</v>
      </c>
      <c r="EC30" s="10">
        <f t="shared" si="297"/>
        <v>74</v>
      </c>
      <c r="ED30" s="10">
        <f t="shared" si="297"/>
        <v>66</v>
      </c>
      <c r="EE30" s="10">
        <f t="shared" si="297"/>
        <v>119</v>
      </c>
      <c r="EF30" s="10">
        <f t="shared" si="297"/>
        <v>163</v>
      </c>
      <c r="EG30" s="10">
        <f t="shared" si="297"/>
        <v>217</v>
      </c>
      <c r="EH30" s="10">
        <f t="shared" si="297"/>
        <v>215</v>
      </c>
      <c r="EI30" s="10">
        <f t="shared" si="297"/>
        <v>199</v>
      </c>
      <c r="EJ30" s="10">
        <f t="shared" si="297"/>
        <v>175</v>
      </c>
      <c r="EK30" s="10">
        <f t="shared" si="297"/>
        <v>154</v>
      </c>
      <c r="EL30" s="10">
        <f t="shared" si="297"/>
        <v>162</v>
      </c>
      <c r="EM30" s="10">
        <f t="shared" si="297"/>
        <v>140</v>
      </c>
      <c r="EN30" s="10">
        <f t="shared" si="297"/>
        <v>143</v>
      </c>
      <c r="EO30" s="10">
        <f t="shared" si="297"/>
        <v>156</v>
      </c>
      <c r="EP30" s="10">
        <f t="shared" si="297"/>
        <v>223</v>
      </c>
      <c r="EQ30" s="10">
        <f t="shared" si="297"/>
        <v>252</v>
      </c>
      <c r="ER30" s="10">
        <f t="shared" si="297"/>
        <v>160</v>
      </c>
      <c r="ES30" s="10">
        <f t="shared" si="297"/>
        <v>57</v>
      </c>
      <c r="ET30" s="10">
        <f t="shared" si="297"/>
        <v>12</v>
      </c>
      <c r="EU30" s="10">
        <f t="shared" si="289"/>
        <v>3060</v>
      </c>
      <c r="EV30" s="10">
        <f t="shared" si="282"/>
        <v>156.60000000000002</v>
      </c>
      <c r="EW30" s="10">
        <f t="shared" si="283"/>
        <v>67.599999999999994</v>
      </c>
      <c r="EX30" s="10">
        <f t="shared" si="280"/>
        <v>1143</v>
      </c>
      <c r="EY30" s="10">
        <f t="shared" si="284"/>
        <v>860</v>
      </c>
      <c r="EZ30" s="14">
        <f t="shared" si="285"/>
        <v>0.37352941176470589</v>
      </c>
      <c r="FA30" s="14">
        <f t="shared" si="286"/>
        <v>0.28104575163398693</v>
      </c>
      <c r="FB30" s="10">
        <f t="shared" si="290"/>
        <v>565</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232</v>
      </c>
      <c r="EA31" s="16">
        <f t="shared" ref="EA31:ET31" si="298">EA29+EA30</f>
        <v>272</v>
      </c>
      <c r="EB31" s="16">
        <f t="shared" si="298"/>
        <v>271</v>
      </c>
      <c r="EC31" s="16">
        <f t="shared" si="298"/>
        <v>148</v>
      </c>
      <c r="ED31" s="16">
        <f t="shared" si="298"/>
        <v>128</v>
      </c>
      <c r="EE31" s="16">
        <f t="shared" si="298"/>
        <v>236</v>
      </c>
      <c r="EF31" s="16">
        <f t="shared" si="298"/>
        <v>326</v>
      </c>
      <c r="EG31" s="16">
        <f t="shared" si="298"/>
        <v>453</v>
      </c>
      <c r="EH31" s="16">
        <f t="shared" si="298"/>
        <v>447</v>
      </c>
      <c r="EI31" s="16">
        <f t="shared" si="298"/>
        <v>406</v>
      </c>
      <c r="EJ31" s="16">
        <f t="shared" si="298"/>
        <v>363</v>
      </c>
      <c r="EK31" s="16">
        <f t="shared" si="298"/>
        <v>311</v>
      </c>
      <c r="EL31" s="16">
        <f t="shared" si="298"/>
        <v>304</v>
      </c>
      <c r="EM31" s="16">
        <f t="shared" si="298"/>
        <v>275</v>
      </c>
      <c r="EN31" s="16">
        <f t="shared" si="298"/>
        <v>265</v>
      </c>
      <c r="EO31" s="16">
        <f t="shared" si="298"/>
        <v>277</v>
      </c>
      <c r="EP31" s="16">
        <f t="shared" si="298"/>
        <v>367</v>
      </c>
      <c r="EQ31" s="16">
        <f t="shared" si="298"/>
        <v>376</v>
      </c>
      <c r="ER31" s="16">
        <f t="shared" si="298"/>
        <v>219</v>
      </c>
      <c r="ES31" s="16">
        <f t="shared" si="298"/>
        <v>67</v>
      </c>
      <c r="ET31" s="16">
        <f t="shared" si="298"/>
        <v>14</v>
      </c>
      <c r="EU31" s="11">
        <f t="shared" si="289"/>
        <v>5757</v>
      </c>
      <c r="EV31" s="11">
        <f t="shared" si="282"/>
        <v>325.79999999999995</v>
      </c>
      <c r="EW31" s="11">
        <f t="shared" si="283"/>
        <v>138</v>
      </c>
      <c r="EX31" s="11">
        <f t="shared" si="280"/>
        <v>1860</v>
      </c>
      <c r="EY31" s="11">
        <f t="shared" si="284"/>
        <v>1320</v>
      </c>
      <c r="EZ31" s="15">
        <f t="shared" si="285"/>
        <v>0.32308494007295468</v>
      </c>
      <c r="FA31" s="15">
        <f t="shared" si="286"/>
        <v>0.22928608650338719</v>
      </c>
      <c r="FB31" s="11">
        <f t="shared" si="290"/>
        <v>1143</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2788</v>
      </c>
      <c r="D4" s="17">
        <f>SUM(C41:C61)</f>
        <v>3230</v>
      </c>
      <c r="E4" s="17">
        <f>C4+D4</f>
        <v>6018</v>
      </c>
      <c r="F4" s="85"/>
      <c r="G4" s="1" t="s">
        <v>58</v>
      </c>
      <c r="H4" s="1">
        <f>B4</f>
        <v>2010</v>
      </c>
      <c r="I4" s="17">
        <f>C4</f>
        <v>2788</v>
      </c>
      <c r="J4" s="17">
        <f>D4</f>
        <v>3230</v>
      </c>
      <c r="K4" s="17">
        <f>I4+J4</f>
        <v>6018</v>
      </c>
      <c r="N4" s="1" t="s">
        <v>58</v>
      </c>
      <c r="O4" s="1">
        <f>H4</f>
        <v>2010</v>
      </c>
      <c r="P4" s="17">
        <f>I4</f>
        <v>2788</v>
      </c>
      <c r="Q4" s="17">
        <f t="shared" ref="Q4:R4" si="0">J4</f>
        <v>3230</v>
      </c>
      <c r="R4" s="17">
        <f t="shared" si="0"/>
        <v>6018</v>
      </c>
      <c r="S4" s="1"/>
      <c r="T4" s="1"/>
      <c r="U4" s="1"/>
    </row>
    <row r="5" spans="1:21" x14ac:dyDescent="0.15">
      <c r="A5" s="1" t="s">
        <v>61</v>
      </c>
      <c r="B5" s="1">
        <f>管理者入力シート!B6</f>
        <v>2015</v>
      </c>
      <c r="C5" s="17">
        <f>SUM(B65:B85)</f>
        <v>2654</v>
      </c>
      <c r="D5" s="17">
        <f>SUM(C65:C85)</f>
        <v>3151</v>
      </c>
      <c r="E5" s="17">
        <f t="shared" ref="E5" si="1">C5+D5</f>
        <v>5805</v>
      </c>
      <c r="F5" s="85"/>
      <c r="G5" s="1" t="s">
        <v>57</v>
      </c>
      <c r="H5" s="1">
        <f t="shared" ref="H5:H6" si="2">B5</f>
        <v>2015</v>
      </c>
      <c r="I5" s="17">
        <f t="shared" ref="I5" si="3">C5</f>
        <v>2654</v>
      </c>
      <c r="J5" s="17">
        <f>D5</f>
        <v>3151</v>
      </c>
      <c r="K5" s="17">
        <f t="shared" ref="K5:K10" si="4">I5+J5</f>
        <v>5805</v>
      </c>
      <c r="N5" s="1" t="s">
        <v>57</v>
      </c>
      <c r="O5" s="1">
        <f t="shared" ref="O5:O10" si="5">H5</f>
        <v>2015</v>
      </c>
      <c r="P5" s="17">
        <f t="shared" ref="P5:P10" si="6">I5</f>
        <v>2654</v>
      </c>
      <c r="Q5" s="17">
        <f t="shared" ref="Q5:Q10" si="7">J5</f>
        <v>3151</v>
      </c>
      <c r="R5" s="17">
        <f t="shared" ref="R5:R10" si="8">K5</f>
        <v>5805</v>
      </c>
      <c r="S5" s="1"/>
      <c r="T5" s="1"/>
      <c r="U5" s="1"/>
    </row>
    <row r="6" spans="1:21" x14ac:dyDescent="0.15">
      <c r="A6" s="1" t="s">
        <v>62</v>
      </c>
      <c r="B6" s="1">
        <f>管理者入力シート!B5</f>
        <v>2020</v>
      </c>
      <c r="C6" s="17">
        <f>SUM(B89:B109)</f>
        <v>2572</v>
      </c>
      <c r="D6" s="17">
        <f>SUM(C89:C109)</f>
        <v>3003</v>
      </c>
      <c r="E6" s="17">
        <f>C6+D6</f>
        <v>5575</v>
      </c>
      <c r="F6" s="85"/>
      <c r="G6" s="1" t="s">
        <v>62</v>
      </c>
      <c r="H6" s="1">
        <f t="shared" si="2"/>
        <v>2020</v>
      </c>
      <c r="I6" s="17">
        <f>C6</f>
        <v>2572</v>
      </c>
      <c r="J6" s="17">
        <f>D6</f>
        <v>3003</v>
      </c>
      <c r="K6" s="17">
        <f t="shared" si="4"/>
        <v>5575</v>
      </c>
      <c r="N6" s="1" t="s">
        <v>62</v>
      </c>
      <c r="O6" s="1">
        <f t="shared" si="5"/>
        <v>2020</v>
      </c>
      <c r="P6" s="17">
        <f t="shared" si="6"/>
        <v>2572</v>
      </c>
      <c r="Q6" s="17">
        <f t="shared" si="7"/>
        <v>3003</v>
      </c>
      <c r="R6" s="17">
        <f t="shared" si="8"/>
        <v>5575</v>
      </c>
      <c r="S6" s="1"/>
      <c r="T6" s="1"/>
      <c r="U6" s="1"/>
    </row>
    <row r="7" spans="1:21" x14ac:dyDescent="0.15">
      <c r="G7" s="1" t="s">
        <v>106</v>
      </c>
      <c r="H7" s="1">
        <f>管理者入力シート!B8</f>
        <v>2025</v>
      </c>
      <c r="I7" s="17">
        <f>SUM(H69:H89)</f>
        <v>2421</v>
      </c>
      <c r="J7" s="17">
        <f>SUM(I69:I89)</f>
        <v>2838</v>
      </c>
      <c r="K7" s="17">
        <f t="shared" si="4"/>
        <v>5259</v>
      </c>
      <c r="N7" s="1" t="s">
        <v>106</v>
      </c>
      <c r="O7" s="1">
        <f t="shared" si="5"/>
        <v>2025</v>
      </c>
      <c r="P7" s="17">
        <f t="shared" si="6"/>
        <v>2421</v>
      </c>
      <c r="Q7" s="17">
        <f t="shared" si="7"/>
        <v>2838</v>
      </c>
      <c r="R7" s="17">
        <f t="shared" si="8"/>
        <v>5259</v>
      </c>
      <c r="S7" s="235">
        <f>SUM(O69:O89)</f>
        <v>2425</v>
      </c>
      <c r="T7" s="235">
        <f>SUM(P69:P89)</f>
        <v>2843</v>
      </c>
      <c r="U7" s="235">
        <f>S7+T7</f>
        <v>5268</v>
      </c>
    </row>
    <row r="8" spans="1:21" x14ac:dyDescent="0.15">
      <c r="A8" s="69" t="s">
        <v>71</v>
      </c>
      <c r="G8" s="1" t="s">
        <v>107</v>
      </c>
      <c r="H8" s="1">
        <f>管理者入力シート!B9</f>
        <v>2030</v>
      </c>
      <c r="I8" s="17">
        <f>SUM(H93:H113)</f>
        <v>2251</v>
      </c>
      <c r="J8" s="17">
        <f>SUM(I93:I113)</f>
        <v>2652</v>
      </c>
      <c r="K8" s="17">
        <f t="shared" si="4"/>
        <v>4903</v>
      </c>
      <c r="N8" s="1" t="s">
        <v>107</v>
      </c>
      <c r="O8" s="1">
        <f t="shared" si="5"/>
        <v>2030</v>
      </c>
      <c r="P8" s="17">
        <f t="shared" si="6"/>
        <v>2251</v>
      </c>
      <c r="Q8" s="17">
        <f t="shared" si="7"/>
        <v>2652</v>
      </c>
      <c r="R8" s="17">
        <f t="shared" si="8"/>
        <v>4903</v>
      </c>
      <c r="S8" s="235">
        <f>SUM(O93:O113)</f>
        <v>2260</v>
      </c>
      <c r="T8" s="235">
        <f>SUM(P93:P113)</f>
        <v>2663</v>
      </c>
      <c r="U8" s="235">
        <f t="shared" ref="U8:U10" si="9">S8+T8</f>
        <v>4923</v>
      </c>
    </row>
    <row r="9" spans="1:21" x14ac:dyDescent="0.15">
      <c r="A9" s="2" t="s">
        <v>72</v>
      </c>
      <c r="G9" s="1" t="s">
        <v>108</v>
      </c>
      <c r="H9" s="1">
        <f>管理者入力シート!B10</f>
        <v>2035</v>
      </c>
      <c r="I9" s="17">
        <f>SUM(H117:H137)</f>
        <v>2063</v>
      </c>
      <c r="J9" s="17">
        <f>SUM(I117:I137)</f>
        <v>2459</v>
      </c>
      <c r="K9" s="17">
        <f t="shared" si="4"/>
        <v>4522</v>
      </c>
      <c r="N9" s="1" t="s">
        <v>108</v>
      </c>
      <c r="O9" s="1">
        <f t="shared" si="5"/>
        <v>2035</v>
      </c>
      <c r="P9" s="17">
        <f t="shared" si="6"/>
        <v>2063</v>
      </c>
      <c r="Q9" s="17">
        <f t="shared" si="7"/>
        <v>2459</v>
      </c>
      <c r="R9" s="17">
        <f t="shared" si="8"/>
        <v>4522</v>
      </c>
      <c r="S9" s="235">
        <f>SUM(O117:O137)</f>
        <v>2078</v>
      </c>
      <c r="T9" s="235">
        <f>SUM(P117:P137)</f>
        <v>2476</v>
      </c>
      <c r="U9" s="235">
        <f t="shared" si="9"/>
        <v>4554</v>
      </c>
    </row>
    <row r="10" spans="1:21" x14ac:dyDescent="0.15">
      <c r="A10" s="1" t="s">
        <v>58</v>
      </c>
      <c r="B10" s="1">
        <f>B4</f>
        <v>2010</v>
      </c>
      <c r="C10" s="17">
        <f>ROUND(VLOOKUP(B10&amp;"_3",管理者用人口入力シート!A:AA,26,FALSE),0)</f>
        <v>307</v>
      </c>
      <c r="D10" s="12"/>
      <c r="E10" s="12"/>
      <c r="G10" s="1" t="s">
        <v>109</v>
      </c>
      <c r="H10" s="1">
        <f>管理者入力シート!B11</f>
        <v>2040</v>
      </c>
      <c r="I10" s="17">
        <f>SUM(H141:H161)</f>
        <v>1874</v>
      </c>
      <c r="J10" s="17">
        <f>SUM(I141:I161)</f>
        <v>2261</v>
      </c>
      <c r="K10" s="17">
        <f t="shared" si="4"/>
        <v>4135</v>
      </c>
      <c r="N10" s="1" t="s">
        <v>109</v>
      </c>
      <c r="O10" s="1">
        <f t="shared" si="5"/>
        <v>2040</v>
      </c>
      <c r="P10" s="17">
        <f t="shared" si="6"/>
        <v>1874</v>
      </c>
      <c r="Q10" s="17">
        <f t="shared" si="7"/>
        <v>2261</v>
      </c>
      <c r="R10" s="17">
        <f t="shared" si="8"/>
        <v>4135</v>
      </c>
      <c r="S10" s="235">
        <f>SUM(O141:O161)</f>
        <v>1895</v>
      </c>
      <c r="T10" s="235">
        <f>SUM(P141:P161)</f>
        <v>2284</v>
      </c>
      <c r="U10" s="235">
        <f t="shared" si="9"/>
        <v>4179</v>
      </c>
    </row>
    <row r="11" spans="1:21" x14ac:dyDescent="0.15">
      <c r="A11" s="1" t="s">
        <v>61</v>
      </c>
      <c r="B11" s="1">
        <f t="shared" ref="B11:B12" si="10">B5</f>
        <v>2015</v>
      </c>
      <c r="C11" s="17">
        <f>ROUND(VLOOKUP(B11&amp;"_3",管理者用人口入力シート!A:AA,26,FALSE),0)</f>
        <v>301</v>
      </c>
      <c r="D11" s="12"/>
      <c r="E11" s="12"/>
      <c r="I11" s="12"/>
      <c r="J11" s="12"/>
      <c r="K11" s="12"/>
      <c r="P11" s="12"/>
    </row>
    <row r="12" spans="1:21" x14ac:dyDescent="0.15">
      <c r="A12" s="1" t="s">
        <v>62</v>
      </c>
      <c r="B12" s="1">
        <f t="shared" si="10"/>
        <v>2020</v>
      </c>
      <c r="C12" s="17">
        <f>ROUND(VLOOKUP(B12&amp;"_3",管理者用人口入力シート!A:AA,26,FALSE),0)</f>
        <v>296</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164</v>
      </c>
      <c r="D14" s="12"/>
      <c r="E14" s="12"/>
      <c r="G14" s="1" t="s">
        <v>58</v>
      </c>
      <c r="H14" s="1">
        <f>H4</f>
        <v>2010</v>
      </c>
      <c r="I14" s="17">
        <f>C10</f>
        <v>307</v>
      </c>
      <c r="J14" s="12"/>
      <c r="K14" s="12"/>
      <c r="N14" s="1" t="s">
        <v>58</v>
      </c>
      <c r="O14" s="1">
        <f>O4</f>
        <v>2010</v>
      </c>
      <c r="P14" s="17">
        <f>I14</f>
        <v>307</v>
      </c>
      <c r="Q14" s="17"/>
    </row>
    <row r="15" spans="1:21" x14ac:dyDescent="0.15">
      <c r="A15" s="1" t="s">
        <v>61</v>
      </c>
      <c r="B15" s="1">
        <f t="shared" ref="B15:B16" si="11">B5</f>
        <v>2015</v>
      </c>
      <c r="C15" s="17">
        <f>ROUND(VLOOKUP(B15&amp;"_3",管理者用人口入力シート!A:AA,27,FALSE),0)</f>
        <v>149</v>
      </c>
      <c r="D15" s="12"/>
      <c r="E15" s="12"/>
      <c r="G15" s="1" t="s">
        <v>57</v>
      </c>
      <c r="H15" s="1">
        <f t="shared" ref="H15:H20" si="12">H5</f>
        <v>2015</v>
      </c>
      <c r="I15" s="17">
        <f>C11</f>
        <v>301</v>
      </c>
      <c r="J15" s="12"/>
      <c r="K15" s="12"/>
      <c r="N15" s="1" t="s">
        <v>57</v>
      </c>
      <c r="O15" s="1">
        <f t="shared" ref="O15:O20" si="13">O5</f>
        <v>2015</v>
      </c>
      <c r="P15" s="17">
        <f t="shared" ref="P15:P20" si="14">I15</f>
        <v>301</v>
      </c>
      <c r="Q15" s="17"/>
    </row>
    <row r="16" spans="1:21" x14ac:dyDescent="0.15">
      <c r="A16" s="1" t="s">
        <v>62</v>
      </c>
      <c r="B16" s="1">
        <f t="shared" si="11"/>
        <v>2020</v>
      </c>
      <c r="C16" s="17">
        <f>ROUND(VLOOKUP(B16&amp;"_3",管理者用人口入力シート!A:AA,27,FALSE),0)</f>
        <v>145</v>
      </c>
      <c r="D16" s="12"/>
      <c r="E16" s="12"/>
      <c r="G16" s="1" t="s">
        <v>62</v>
      </c>
      <c r="H16" s="1">
        <f t="shared" si="12"/>
        <v>2020</v>
      </c>
      <c r="I16" s="17">
        <f>C12</f>
        <v>296</v>
      </c>
      <c r="J16" s="12"/>
      <c r="K16" s="12"/>
      <c r="N16" s="1" t="s">
        <v>62</v>
      </c>
      <c r="O16" s="1">
        <f t="shared" si="13"/>
        <v>2020</v>
      </c>
      <c r="P16" s="17">
        <f t="shared" si="14"/>
        <v>296</v>
      </c>
      <c r="Q16" s="17"/>
    </row>
    <row r="17" spans="1:17" x14ac:dyDescent="0.15">
      <c r="G17" s="1" t="s">
        <v>106</v>
      </c>
      <c r="H17" s="1">
        <f t="shared" si="12"/>
        <v>2025</v>
      </c>
      <c r="I17" s="17">
        <f>ROUND(VLOOKUP(H17&amp;"_3",管理者用人口入力シート!BH:CM,26,FALSE),0)</f>
        <v>278</v>
      </c>
      <c r="J17" s="12"/>
      <c r="K17" s="12"/>
      <c r="N17" s="1" t="s">
        <v>106</v>
      </c>
      <c r="O17" s="1">
        <f t="shared" si="13"/>
        <v>2025</v>
      </c>
      <c r="P17" s="17">
        <f t="shared" si="14"/>
        <v>278</v>
      </c>
      <c r="Q17" s="17">
        <f>ROUND(VLOOKUP(H17&amp;"_3",管理者用人口入力シート!CO:DT,26,FALSE),0)</f>
        <v>279</v>
      </c>
    </row>
    <row r="18" spans="1:17" x14ac:dyDescent="0.15">
      <c r="A18" s="69" t="s">
        <v>110</v>
      </c>
      <c r="G18" s="1" t="s">
        <v>107</v>
      </c>
      <c r="H18" s="1">
        <f t="shared" si="12"/>
        <v>2030</v>
      </c>
      <c r="I18" s="17">
        <f>ROUND(VLOOKUP(H18&amp;"_3",管理者用人口入力シート!BH:CM,26,FALSE),0)</f>
        <v>228</v>
      </c>
      <c r="J18" s="12"/>
      <c r="K18" s="12"/>
      <c r="N18" s="1" t="s">
        <v>107</v>
      </c>
      <c r="O18" s="1">
        <f t="shared" si="13"/>
        <v>2030</v>
      </c>
      <c r="P18" s="17">
        <f t="shared" si="14"/>
        <v>228</v>
      </c>
      <c r="Q18" s="17">
        <f>ROUND(VLOOKUP(H18&amp;"_3",管理者用人口入力シート!CO:DT,26,FALSE),0)</f>
        <v>231</v>
      </c>
    </row>
    <row r="19" spans="1:17" x14ac:dyDescent="0.15">
      <c r="A19" s="2" t="s">
        <v>84</v>
      </c>
      <c r="G19" s="1" t="s">
        <v>108</v>
      </c>
      <c r="H19" s="1">
        <f t="shared" si="12"/>
        <v>2035</v>
      </c>
      <c r="I19" s="17">
        <f>ROUND(VLOOKUP(H19&amp;"_3",管理者用人口入力シート!BH:CM,26,FALSE),0)</f>
        <v>187</v>
      </c>
      <c r="J19" s="12"/>
      <c r="K19" s="12"/>
      <c r="N19" s="1" t="s">
        <v>108</v>
      </c>
      <c r="O19" s="1">
        <f t="shared" si="13"/>
        <v>2035</v>
      </c>
      <c r="P19" s="17">
        <f t="shared" si="14"/>
        <v>187</v>
      </c>
      <c r="Q19" s="17">
        <f>ROUND(VLOOKUP(H19&amp;"_3",管理者用人口入力シート!CO:DT,26,FALSE),0)</f>
        <v>192</v>
      </c>
    </row>
    <row r="20" spans="1:17" x14ac:dyDescent="0.15">
      <c r="A20" s="1" t="s">
        <v>58</v>
      </c>
      <c r="B20" s="1">
        <f>B4</f>
        <v>2010</v>
      </c>
      <c r="C20" s="17">
        <f>SUM(B54:C61)</f>
        <v>1658</v>
      </c>
      <c r="D20" s="12"/>
      <c r="E20" s="12"/>
      <c r="G20" s="1" t="s">
        <v>109</v>
      </c>
      <c r="H20" s="1">
        <f t="shared" si="12"/>
        <v>2040</v>
      </c>
      <c r="I20" s="17">
        <f>ROUND(VLOOKUP(H20&amp;"_3",管理者用人口入力シート!BH:CM,26,FALSE),0)</f>
        <v>165</v>
      </c>
      <c r="J20" s="12"/>
      <c r="K20" s="12"/>
      <c r="N20" s="1" t="s">
        <v>109</v>
      </c>
      <c r="O20" s="1">
        <f t="shared" si="13"/>
        <v>2040</v>
      </c>
      <c r="P20" s="17">
        <f t="shared" si="14"/>
        <v>165</v>
      </c>
      <c r="Q20" s="17">
        <f>ROUND(VLOOKUP(H20&amp;"_3",管理者用人口入力シート!CO:DT,26,FALSE),0)</f>
        <v>173</v>
      </c>
    </row>
    <row r="21" spans="1:17" x14ac:dyDescent="0.15">
      <c r="A21" s="1" t="s">
        <v>61</v>
      </c>
      <c r="B21" s="1">
        <f t="shared" ref="B21:B22" si="15">B5</f>
        <v>2015</v>
      </c>
      <c r="C21" s="17">
        <f>SUM(B78:C85)</f>
        <v>1932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2091</v>
      </c>
      <c r="D22" s="12"/>
      <c r="E22" s="12"/>
      <c r="G22" s="1" t="s">
        <v>58</v>
      </c>
      <c r="H22" s="1">
        <f>H4</f>
        <v>2010</v>
      </c>
      <c r="I22" s="17">
        <f>C14</f>
        <v>164</v>
      </c>
      <c r="J22" s="12"/>
      <c r="K22" s="12"/>
      <c r="N22" s="1" t="s">
        <v>58</v>
      </c>
      <c r="O22" s="1">
        <f>O4</f>
        <v>2010</v>
      </c>
      <c r="P22" s="17">
        <f>I22</f>
        <v>164</v>
      </c>
      <c r="Q22" s="17"/>
    </row>
    <row r="23" spans="1:17" x14ac:dyDescent="0.15">
      <c r="A23" s="2" t="s">
        <v>86</v>
      </c>
      <c r="G23" s="1" t="s">
        <v>57</v>
      </c>
      <c r="H23" s="1">
        <f t="shared" ref="H23:H28" si="16">H5</f>
        <v>2015</v>
      </c>
      <c r="I23" s="17">
        <f t="shared" ref="I23:I24" si="17">C15</f>
        <v>149</v>
      </c>
      <c r="J23" s="12"/>
      <c r="K23" s="12"/>
      <c r="N23" s="1" t="s">
        <v>57</v>
      </c>
      <c r="O23" s="1">
        <f t="shared" ref="O23:O28" si="18">O5</f>
        <v>2015</v>
      </c>
      <c r="P23" s="17">
        <f t="shared" ref="P23:P28" si="19">I23</f>
        <v>149</v>
      </c>
      <c r="Q23" s="17"/>
    </row>
    <row r="24" spans="1:17" x14ac:dyDescent="0.15">
      <c r="A24" s="1" t="s">
        <v>58</v>
      </c>
      <c r="B24" s="1">
        <f>B4</f>
        <v>2010</v>
      </c>
      <c r="C24" s="17">
        <f>SUM(B56:C61)</f>
        <v>980</v>
      </c>
      <c r="D24" s="12"/>
      <c r="E24" s="12"/>
      <c r="G24" s="1" t="s">
        <v>62</v>
      </c>
      <c r="H24" s="1">
        <f t="shared" si="16"/>
        <v>2020</v>
      </c>
      <c r="I24" s="17">
        <f t="shared" si="17"/>
        <v>145</v>
      </c>
      <c r="J24" s="12"/>
      <c r="K24" s="12"/>
      <c r="N24" s="1" t="s">
        <v>62</v>
      </c>
      <c r="O24" s="1">
        <f t="shared" si="18"/>
        <v>2020</v>
      </c>
      <c r="P24" s="17">
        <f t="shared" si="19"/>
        <v>145</v>
      </c>
      <c r="Q24" s="17"/>
    </row>
    <row r="25" spans="1:17" x14ac:dyDescent="0.15">
      <c r="A25" s="1" t="s">
        <v>61</v>
      </c>
      <c r="B25" s="1">
        <f t="shared" ref="B25:B26" si="20">B5</f>
        <v>2015</v>
      </c>
      <c r="C25" s="17">
        <f>SUM(B80:C85)</f>
        <v>1099</v>
      </c>
      <c r="D25" s="12"/>
      <c r="E25" s="12"/>
      <c r="G25" s="1" t="s">
        <v>106</v>
      </c>
      <c r="H25" s="1">
        <f t="shared" si="16"/>
        <v>2025</v>
      </c>
      <c r="I25" s="17">
        <f>ROUND(VLOOKUP(H25&amp;"_3",管理者用人口入力シート!BH:CM,27,FALSE),0)</f>
        <v>146</v>
      </c>
      <c r="J25" s="12"/>
      <c r="K25" s="12"/>
      <c r="N25" s="1" t="s">
        <v>106</v>
      </c>
      <c r="O25" s="1">
        <f t="shared" si="18"/>
        <v>2025</v>
      </c>
      <c r="P25" s="17">
        <f t="shared" si="19"/>
        <v>146</v>
      </c>
      <c r="Q25" s="17">
        <f>ROUND(VLOOKUP(H17&amp;"_3",管理者用人口入力シート!CO:DT,27,FALSE),0)</f>
        <v>147</v>
      </c>
    </row>
    <row r="26" spans="1:17" x14ac:dyDescent="0.15">
      <c r="A26" s="1" t="s">
        <v>62</v>
      </c>
      <c r="B26" s="1">
        <f t="shared" si="20"/>
        <v>2020</v>
      </c>
      <c r="C26" s="17">
        <f>SUM(B104:C109)</f>
        <v>1095</v>
      </c>
      <c r="D26" s="12"/>
      <c r="E26" s="12"/>
      <c r="G26" s="1" t="s">
        <v>107</v>
      </c>
      <c r="H26" s="1">
        <f t="shared" si="16"/>
        <v>2030</v>
      </c>
      <c r="I26" s="17">
        <f>ROUND(VLOOKUP(H26&amp;"_3",管理者用人口入力シート!BH:CM,27,FALSE),0)</f>
        <v>131</v>
      </c>
      <c r="J26" s="12"/>
      <c r="K26" s="12"/>
      <c r="N26" s="1" t="s">
        <v>107</v>
      </c>
      <c r="O26" s="1">
        <f t="shared" si="18"/>
        <v>2030</v>
      </c>
      <c r="P26" s="17">
        <f t="shared" si="19"/>
        <v>131</v>
      </c>
      <c r="Q26" s="17">
        <f>ROUND(VLOOKUP(H18&amp;"_3",管理者用人口入力シート!CO:DT,27,FALSE),0)</f>
        <v>132</v>
      </c>
    </row>
    <row r="27" spans="1:17" x14ac:dyDescent="0.15">
      <c r="G27" s="1" t="s">
        <v>108</v>
      </c>
      <c r="H27" s="1">
        <f t="shared" si="16"/>
        <v>2035</v>
      </c>
      <c r="I27" s="17">
        <f>ROUND(VLOOKUP(H27&amp;"_3",管理者用人口入力シート!BH:CM,27,FALSE),0)</f>
        <v>106</v>
      </c>
      <c r="J27" s="12"/>
      <c r="K27" s="12"/>
      <c r="N27" s="1" t="s">
        <v>108</v>
      </c>
      <c r="O27" s="1">
        <f t="shared" si="18"/>
        <v>2035</v>
      </c>
      <c r="P27" s="17">
        <f t="shared" si="19"/>
        <v>106</v>
      </c>
      <c r="Q27" s="17">
        <f>ROUND(VLOOKUP(H19&amp;"_3",管理者用人口入力シート!CO:DT,27,FALSE),0)</f>
        <v>108</v>
      </c>
    </row>
    <row r="28" spans="1:17" x14ac:dyDescent="0.15">
      <c r="A28" s="69" t="s">
        <v>85</v>
      </c>
      <c r="G28" s="1" t="s">
        <v>109</v>
      </c>
      <c r="H28" s="1">
        <f t="shared" si="16"/>
        <v>2040</v>
      </c>
      <c r="I28" s="17">
        <f>ROUND(VLOOKUP(H28&amp;"_3",管理者用人口入力シート!BH:CM,27,FALSE),0)</f>
        <v>88</v>
      </c>
      <c r="J28" s="12"/>
      <c r="K28" s="12"/>
      <c r="N28" s="1" t="s">
        <v>109</v>
      </c>
      <c r="O28" s="1">
        <f t="shared" si="18"/>
        <v>2040</v>
      </c>
      <c r="P28" s="17">
        <f t="shared" si="19"/>
        <v>88</v>
      </c>
      <c r="Q28" s="17">
        <f>ROUND(VLOOKUP(H20&amp;"_3",管理者用人口入力シート!CO:DT,27,FALSE),0)</f>
        <v>92</v>
      </c>
    </row>
    <row r="29" spans="1:17" x14ac:dyDescent="0.15">
      <c r="A29" s="2" t="s">
        <v>84</v>
      </c>
    </row>
    <row r="30" spans="1:17" x14ac:dyDescent="0.15">
      <c r="A30" s="1" t="s">
        <v>58</v>
      </c>
      <c r="B30" s="1">
        <f>B4</f>
        <v>2010</v>
      </c>
      <c r="C30" s="38">
        <f>ROUND((SUM(B54:C61)/SUM(B41:C61)),2)</f>
        <v>0.28000000000000003</v>
      </c>
      <c r="D30" s="204"/>
      <c r="E30" s="204"/>
      <c r="G30" s="69" t="s">
        <v>110</v>
      </c>
      <c r="N30" s="69" t="s">
        <v>110</v>
      </c>
    </row>
    <row r="31" spans="1:17" x14ac:dyDescent="0.15">
      <c r="A31" s="1" t="s">
        <v>61</v>
      </c>
      <c r="B31" s="1">
        <f t="shared" ref="B31:B32" si="21">B5</f>
        <v>2015</v>
      </c>
      <c r="C31" s="38">
        <f>ROUND((SUM(B78:C85)/SUM(B65:C85)),2)</f>
        <v>0.33</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0.38</v>
      </c>
      <c r="D32" s="204"/>
      <c r="E32" s="204"/>
      <c r="G32" s="1" t="s">
        <v>58</v>
      </c>
      <c r="H32" s="1">
        <f>H4</f>
        <v>2010</v>
      </c>
      <c r="I32" s="17">
        <f>C20</f>
        <v>1658</v>
      </c>
      <c r="J32" s="12"/>
      <c r="K32" s="12"/>
      <c r="N32" s="1" t="s">
        <v>58</v>
      </c>
      <c r="O32" s="1">
        <f>O4</f>
        <v>2010</v>
      </c>
      <c r="P32" s="17">
        <f>I32</f>
        <v>1658</v>
      </c>
      <c r="Q32" s="17"/>
    </row>
    <row r="33" spans="1:17" x14ac:dyDescent="0.15">
      <c r="A33" s="2" t="s">
        <v>86</v>
      </c>
      <c r="G33" s="1" t="s">
        <v>57</v>
      </c>
      <c r="H33" s="1">
        <f t="shared" ref="H33:H38" si="22">H5</f>
        <v>2015</v>
      </c>
      <c r="I33" s="17">
        <f>C21</f>
        <v>1932</v>
      </c>
      <c r="J33" s="12"/>
      <c r="K33" s="12"/>
      <c r="N33" s="1" t="s">
        <v>57</v>
      </c>
      <c r="O33" s="1">
        <f t="shared" ref="O33:O38" si="23">O5</f>
        <v>2015</v>
      </c>
      <c r="P33" s="17">
        <f t="shared" ref="P33:P38" si="24">I33</f>
        <v>1932</v>
      </c>
      <c r="Q33" s="17"/>
    </row>
    <row r="34" spans="1:17" x14ac:dyDescent="0.15">
      <c r="A34" s="1" t="s">
        <v>58</v>
      </c>
      <c r="B34" s="1">
        <f>B4</f>
        <v>2010</v>
      </c>
      <c r="C34" s="38">
        <f>ROUND((SUM(B56:C61)/SUM(B41:C61)),2)</f>
        <v>0.16</v>
      </c>
      <c r="D34" s="204"/>
      <c r="E34" s="204"/>
      <c r="G34" s="1" t="s">
        <v>62</v>
      </c>
      <c r="H34" s="1">
        <f t="shared" si="22"/>
        <v>2020</v>
      </c>
      <c r="I34" s="17">
        <f>C22</f>
        <v>2091</v>
      </c>
      <c r="J34" s="12"/>
      <c r="K34" s="12"/>
      <c r="N34" s="1" t="s">
        <v>62</v>
      </c>
      <c r="O34" s="1">
        <f t="shared" si="23"/>
        <v>2020</v>
      </c>
      <c r="P34" s="17">
        <f t="shared" si="24"/>
        <v>2091</v>
      </c>
      <c r="Q34" s="17"/>
    </row>
    <row r="35" spans="1:17" x14ac:dyDescent="0.15">
      <c r="A35" s="1" t="s">
        <v>61</v>
      </c>
      <c r="B35" s="1">
        <f t="shared" ref="B35:B36" si="25">B5</f>
        <v>2015</v>
      </c>
      <c r="C35" s="38">
        <f>ROUND((SUM(B80:C85)/SUM(B65:C85)),2)</f>
        <v>0.19</v>
      </c>
      <c r="D35" s="204"/>
      <c r="E35" s="204"/>
      <c r="G35" s="1" t="s">
        <v>106</v>
      </c>
      <c r="H35" s="1">
        <f t="shared" si="22"/>
        <v>2025</v>
      </c>
      <c r="I35" s="17">
        <f>SUM(H82:I89)</f>
        <v>2176</v>
      </c>
      <c r="J35" s="12"/>
      <c r="K35" s="12"/>
      <c r="N35" s="1" t="s">
        <v>106</v>
      </c>
      <c r="O35" s="1">
        <f t="shared" si="23"/>
        <v>2025</v>
      </c>
      <c r="P35" s="17">
        <f t="shared" si="24"/>
        <v>2176</v>
      </c>
      <c r="Q35" s="17">
        <f>SUM(O82:P89)</f>
        <v>2176</v>
      </c>
    </row>
    <row r="36" spans="1:17" x14ac:dyDescent="0.15">
      <c r="A36" s="1" t="s">
        <v>62</v>
      </c>
      <c r="B36" s="1">
        <f t="shared" si="25"/>
        <v>2020</v>
      </c>
      <c r="C36" s="38">
        <f>ROUND((SUM(B104:C109)/SUM(B89:C109)),2)</f>
        <v>0.2</v>
      </c>
      <c r="D36" s="204"/>
      <c r="E36" s="204"/>
      <c r="G36" s="1" t="s">
        <v>107</v>
      </c>
      <c r="H36" s="1">
        <f t="shared" si="22"/>
        <v>2030</v>
      </c>
      <c r="I36" s="17">
        <f>SUM(H106:I113)</f>
        <v>2110</v>
      </c>
      <c r="J36" s="12"/>
      <c r="K36" s="12"/>
      <c r="N36" s="1" t="s">
        <v>107</v>
      </c>
      <c r="O36" s="1">
        <f t="shared" si="23"/>
        <v>2030</v>
      </c>
      <c r="P36" s="17">
        <f t="shared" si="24"/>
        <v>2110</v>
      </c>
      <c r="Q36" s="17">
        <f>SUM(O106:P113)</f>
        <v>2110</v>
      </c>
    </row>
    <row r="37" spans="1:17" x14ac:dyDescent="0.15">
      <c r="G37" s="1" t="s">
        <v>108</v>
      </c>
      <c r="H37" s="1">
        <f t="shared" si="22"/>
        <v>2035</v>
      </c>
      <c r="I37" s="17">
        <f>SUM(H130:I137)</f>
        <v>1995</v>
      </c>
      <c r="J37" s="12"/>
      <c r="K37" s="12"/>
      <c r="N37" s="1" t="s">
        <v>108</v>
      </c>
      <c r="O37" s="1">
        <f t="shared" si="23"/>
        <v>2035</v>
      </c>
      <c r="P37" s="17">
        <f t="shared" si="24"/>
        <v>1995</v>
      </c>
      <c r="Q37" s="17">
        <f>SUM(O130:P137)</f>
        <v>1995</v>
      </c>
    </row>
    <row r="38" spans="1:17" x14ac:dyDescent="0.15">
      <c r="A38" s="69" t="s">
        <v>113</v>
      </c>
      <c r="G38" s="1" t="s">
        <v>109</v>
      </c>
      <c r="H38" s="1">
        <f t="shared" si="22"/>
        <v>2040</v>
      </c>
      <c r="I38" s="17">
        <f>SUM(H154:I161)</f>
        <v>1860</v>
      </c>
      <c r="J38" s="12"/>
      <c r="K38" s="12"/>
      <c r="N38" s="1" t="s">
        <v>109</v>
      </c>
      <c r="O38" s="1">
        <f t="shared" si="23"/>
        <v>2040</v>
      </c>
      <c r="P38" s="17">
        <f t="shared" si="24"/>
        <v>1860</v>
      </c>
      <c r="Q38" s="17">
        <f>SUM(O154:P161)</f>
        <v>1860</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980</v>
      </c>
      <c r="J40" s="12"/>
      <c r="K40" s="12"/>
      <c r="N40" s="1" t="s">
        <v>58</v>
      </c>
      <c r="O40" s="1">
        <f>O4</f>
        <v>2010</v>
      </c>
      <c r="P40" s="17">
        <f>I40</f>
        <v>980</v>
      </c>
      <c r="Q40" s="17"/>
    </row>
    <row r="41" spans="1:17" x14ac:dyDescent="0.15">
      <c r="A41" s="2" t="s">
        <v>0</v>
      </c>
      <c r="B41" s="17">
        <f>ROUND(VLOOKUP(B$39&amp;"_1",管理者用人口入力シート!A:X,D41,FALSE),0)</f>
        <v>115</v>
      </c>
      <c r="C41" s="17">
        <f>ROUND(VLOOKUP(B$39&amp;"_2",管理者用人口入力シート!A:X,D41,FALSE),0)</f>
        <v>112</v>
      </c>
      <c r="D41" s="2">
        <v>4</v>
      </c>
      <c r="G41" s="1" t="s">
        <v>57</v>
      </c>
      <c r="H41" s="1">
        <f t="shared" ref="H41:H46" si="26">H5</f>
        <v>2015</v>
      </c>
      <c r="I41" s="17">
        <f>C25</f>
        <v>1099</v>
      </c>
      <c r="J41" s="12"/>
      <c r="K41" s="12"/>
      <c r="N41" s="1" t="s">
        <v>57</v>
      </c>
      <c r="O41" s="1">
        <f t="shared" ref="O41:O46" si="27">O5</f>
        <v>2015</v>
      </c>
      <c r="P41" s="17">
        <f t="shared" ref="P41:P46" si="28">I41</f>
        <v>1099</v>
      </c>
      <c r="Q41" s="17"/>
    </row>
    <row r="42" spans="1:17" x14ac:dyDescent="0.15">
      <c r="A42" s="2" t="s">
        <v>1</v>
      </c>
      <c r="B42" s="17">
        <f>ROUND(VLOOKUP(B$39&amp;"_1",管理者用人口入力シート!A:X,D42,FALSE),0)</f>
        <v>138</v>
      </c>
      <c r="C42" s="17">
        <f>ROUND(VLOOKUP(B$39&amp;"_2",管理者用人口入力シート!A:X,D42,FALSE),0)</f>
        <v>105</v>
      </c>
      <c r="D42" s="2">
        <v>5</v>
      </c>
      <c r="G42" s="1" t="s">
        <v>62</v>
      </c>
      <c r="H42" s="1">
        <f t="shared" si="26"/>
        <v>2020</v>
      </c>
      <c r="I42" s="17">
        <f>C26</f>
        <v>1095</v>
      </c>
      <c r="J42" s="12"/>
      <c r="K42" s="12"/>
      <c r="N42" s="1" t="s">
        <v>62</v>
      </c>
      <c r="O42" s="1">
        <f t="shared" si="27"/>
        <v>2020</v>
      </c>
      <c r="P42" s="17">
        <f t="shared" si="28"/>
        <v>1095</v>
      </c>
      <c r="Q42" s="17"/>
    </row>
    <row r="43" spans="1:17" x14ac:dyDescent="0.15">
      <c r="A43" s="2" t="s">
        <v>2</v>
      </c>
      <c r="B43" s="17">
        <f>ROUND(VLOOKUP(B$39&amp;"_1",管理者用人口入力シート!A:X,D43,FALSE),0)</f>
        <v>138</v>
      </c>
      <c r="C43" s="17">
        <f>ROUND(VLOOKUP(B$39&amp;"_2",管理者用人口入力シート!A:X,D43,FALSE),0)</f>
        <v>130</v>
      </c>
      <c r="D43" s="2">
        <v>6</v>
      </c>
      <c r="G43" s="1" t="s">
        <v>106</v>
      </c>
      <c r="H43" s="1">
        <f t="shared" si="26"/>
        <v>2025</v>
      </c>
      <c r="I43" s="17">
        <f>SUM(H84:I89)</f>
        <v>1227</v>
      </c>
      <c r="J43" s="12"/>
      <c r="K43" s="12"/>
      <c r="N43" s="1" t="s">
        <v>106</v>
      </c>
      <c r="O43" s="1">
        <f t="shared" si="27"/>
        <v>2025</v>
      </c>
      <c r="P43" s="17">
        <f t="shared" si="28"/>
        <v>1227</v>
      </c>
      <c r="Q43" s="17">
        <f>SUM(O84:P89)</f>
        <v>1227</v>
      </c>
    </row>
    <row r="44" spans="1:17" x14ac:dyDescent="0.15">
      <c r="A44" s="2" t="s">
        <v>3</v>
      </c>
      <c r="B44" s="17">
        <f>ROUND(VLOOKUP(B$39&amp;"_1",管理者用人口入力シート!A:X,D44,FALSE),0)</f>
        <v>145</v>
      </c>
      <c r="C44" s="17">
        <f>ROUND(VLOOKUP(B$39&amp;"_2",管理者用人口入力シート!A:X,D44,FALSE),0)</f>
        <v>137</v>
      </c>
      <c r="D44" s="2">
        <v>7</v>
      </c>
      <c r="G44" s="1" t="s">
        <v>107</v>
      </c>
      <c r="H44" s="1">
        <f t="shared" si="26"/>
        <v>2030</v>
      </c>
      <c r="I44" s="17">
        <f>SUM(H108:I113)</f>
        <v>1361</v>
      </c>
      <c r="J44" s="12"/>
      <c r="K44" s="12"/>
      <c r="N44" s="1" t="s">
        <v>107</v>
      </c>
      <c r="O44" s="1">
        <f t="shared" si="27"/>
        <v>2030</v>
      </c>
      <c r="P44" s="17">
        <f t="shared" si="28"/>
        <v>1361</v>
      </c>
      <c r="Q44" s="17">
        <f>SUM(O108:P113)</f>
        <v>1361</v>
      </c>
    </row>
    <row r="45" spans="1:17" x14ac:dyDescent="0.15">
      <c r="A45" s="2" t="s">
        <v>4</v>
      </c>
      <c r="B45" s="17">
        <f>ROUND(VLOOKUP(B$39&amp;"_1",管理者用人口入力シート!A:X,D45,FALSE),0)</f>
        <v>127</v>
      </c>
      <c r="C45" s="17">
        <f>ROUND(VLOOKUP(B$39&amp;"_2",管理者用人口入力シート!A:X,D45,FALSE),0)</f>
        <v>132</v>
      </c>
      <c r="D45" s="2">
        <v>8</v>
      </c>
      <c r="G45" s="1" t="s">
        <v>108</v>
      </c>
      <c r="H45" s="1">
        <f t="shared" si="26"/>
        <v>2035</v>
      </c>
      <c r="I45" s="17">
        <f>SUM(H132:I137)</f>
        <v>1416</v>
      </c>
      <c r="J45" s="12"/>
      <c r="K45" s="12"/>
      <c r="N45" s="1" t="s">
        <v>108</v>
      </c>
      <c r="O45" s="1">
        <f t="shared" si="27"/>
        <v>2035</v>
      </c>
      <c r="P45" s="17">
        <f t="shared" si="28"/>
        <v>1416</v>
      </c>
      <c r="Q45" s="17">
        <f>SUM(O132:P137)</f>
        <v>1416</v>
      </c>
    </row>
    <row r="46" spans="1:17" x14ac:dyDescent="0.15">
      <c r="A46" s="2" t="s">
        <v>5</v>
      </c>
      <c r="B46" s="17">
        <f>ROUND(VLOOKUP(B$39&amp;"_1",管理者用人口入力シート!A:X,D46,FALSE),0)</f>
        <v>145</v>
      </c>
      <c r="C46" s="17">
        <f>ROUND(VLOOKUP(B$39&amp;"_2",管理者用人口入力シート!A:X,D46,FALSE),0)</f>
        <v>162</v>
      </c>
      <c r="D46" s="2">
        <v>9</v>
      </c>
      <c r="G46" s="1" t="s">
        <v>109</v>
      </c>
      <c r="H46" s="1">
        <f t="shared" si="26"/>
        <v>2040</v>
      </c>
      <c r="I46" s="17">
        <f>SUM(H156:I161)</f>
        <v>1320</v>
      </c>
      <c r="J46" s="12"/>
      <c r="K46" s="12"/>
      <c r="N46" s="1" t="s">
        <v>109</v>
      </c>
      <c r="O46" s="1">
        <f t="shared" si="27"/>
        <v>2040</v>
      </c>
      <c r="P46" s="17">
        <f t="shared" si="28"/>
        <v>1320</v>
      </c>
      <c r="Q46" s="17">
        <f>SUM(O156:P161)</f>
        <v>1320</v>
      </c>
    </row>
    <row r="47" spans="1:17" x14ac:dyDescent="0.15">
      <c r="A47" s="2" t="s">
        <v>6</v>
      </c>
      <c r="B47" s="17">
        <f>ROUND(VLOOKUP(B$39&amp;"_1",管理者用人口入力シート!A:X,D47,FALSE),0)</f>
        <v>137</v>
      </c>
      <c r="C47" s="17">
        <f>ROUND(VLOOKUP(B$39&amp;"_2",管理者用人口入力シート!A:X,D47,FALSE),0)</f>
        <v>149</v>
      </c>
      <c r="D47" s="2">
        <v>10</v>
      </c>
    </row>
    <row r="48" spans="1:17" x14ac:dyDescent="0.15">
      <c r="A48" s="2" t="s">
        <v>7</v>
      </c>
      <c r="B48" s="17">
        <f>ROUND(VLOOKUP(B$39&amp;"_1",管理者用人口入力シート!A:X,D48,FALSE),0)</f>
        <v>150</v>
      </c>
      <c r="C48" s="17">
        <f>ROUND(VLOOKUP(B$39&amp;"_2",管理者用人口入力シート!A:X,D48,FALSE),0)</f>
        <v>151</v>
      </c>
      <c r="D48" s="2">
        <v>11</v>
      </c>
      <c r="G48" s="69" t="s">
        <v>85</v>
      </c>
      <c r="N48" s="69" t="s">
        <v>85</v>
      </c>
    </row>
    <row r="49" spans="1:17" x14ac:dyDescent="0.15">
      <c r="A49" s="2" t="s">
        <v>8</v>
      </c>
      <c r="B49" s="17">
        <f>ROUND(VLOOKUP(B$39&amp;"_1",管理者用人口入力シート!A:X,D49,FALSE),0)</f>
        <v>136</v>
      </c>
      <c r="C49" s="17">
        <f>ROUND(VLOOKUP(B$39&amp;"_2",管理者用人口入力シート!A:X,D49,FALSE),0)</f>
        <v>153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171</v>
      </c>
      <c r="C50" s="17">
        <f>ROUND(VLOOKUP(B$39&amp;"_2",管理者用人口入力シート!A:X,D50,FALSE),0)</f>
        <v>190</v>
      </c>
      <c r="D50" s="2">
        <v>13</v>
      </c>
      <c r="G50" s="1" t="s">
        <v>58</v>
      </c>
      <c r="H50" s="1">
        <f>H4</f>
        <v>2010</v>
      </c>
      <c r="I50" s="38">
        <f>C30</f>
        <v>0.28000000000000003</v>
      </c>
      <c r="J50" s="204"/>
      <c r="K50" s="204"/>
      <c r="N50" s="1" t="s">
        <v>58</v>
      </c>
      <c r="O50" s="1">
        <f>O4</f>
        <v>2010</v>
      </c>
      <c r="P50" s="38">
        <f t="shared" ref="P50:P56" si="29">I50</f>
        <v>0.28000000000000003</v>
      </c>
      <c r="Q50" s="1"/>
    </row>
    <row r="51" spans="1:17" x14ac:dyDescent="0.15">
      <c r="A51" s="2" t="s">
        <v>10</v>
      </c>
      <c r="B51" s="17">
        <f>ROUND(VLOOKUP(B$39&amp;"_1",管理者用人口入力シート!A:X,D51,FALSE),0)</f>
        <v>225</v>
      </c>
      <c r="C51" s="17">
        <f>ROUND(VLOOKUP(B$39&amp;"_2",管理者用人口入力シート!A:X,D51,FALSE),0)</f>
        <v>233</v>
      </c>
      <c r="D51" s="2">
        <v>14</v>
      </c>
      <c r="G51" s="1" t="s">
        <v>57</v>
      </c>
      <c r="H51" s="1">
        <f t="shared" ref="H51:H56" si="30">H5</f>
        <v>2015</v>
      </c>
      <c r="I51" s="38">
        <f t="shared" ref="I51:I52" si="31">C31</f>
        <v>0.33</v>
      </c>
      <c r="J51" s="204"/>
      <c r="K51" s="204"/>
      <c r="N51" s="1" t="s">
        <v>57</v>
      </c>
      <c r="O51" s="1">
        <f t="shared" ref="O51:O56" si="32">O5</f>
        <v>2015</v>
      </c>
      <c r="P51" s="38">
        <f t="shared" si="29"/>
        <v>0.33</v>
      </c>
      <c r="Q51" s="1"/>
    </row>
    <row r="52" spans="1:17" x14ac:dyDescent="0.15">
      <c r="A52" s="2" t="s">
        <v>11</v>
      </c>
      <c r="B52" s="17">
        <f>ROUND(VLOOKUP(B$39&amp;"_1",管理者用人口入力シート!A:X,D52,FALSE),0)</f>
        <v>259</v>
      </c>
      <c r="C52" s="17">
        <f>ROUND(VLOOKUP(B$39&amp;"_2",管理者用人口入力シート!A:X,D52,FALSE),0)</f>
        <v>287</v>
      </c>
      <c r="D52" s="2">
        <v>15</v>
      </c>
      <c r="G52" s="1" t="s">
        <v>62</v>
      </c>
      <c r="H52" s="1">
        <f t="shared" si="30"/>
        <v>2020</v>
      </c>
      <c r="I52" s="38">
        <f t="shared" si="31"/>
        <v>0.38</v>
      </c>
      <c r="J52" s="204"/>
      <c r="K52" s="204"/>
      <c r="N52" s="1" t="s">
        <v>62</v>
      </c>
      <c r="O52" s="1">
        <f t="shared" si="32"/>
        <v>2020</v>
      </c>
      <c r="P52" s="38">
        <f t="shared" si="29"/>
        <v>0.38</v>
      </c>
      <c r="Q52" s="1"/>
    </row>
    <row r="53" spans="1:17" x14ac:dyDescent="0.15">
      <c r="A53" s="2" t="s">
        <v>12</v>
      </c>
      <c r="B53" s="17">
        <f>ROUND(VLOOKUP(B$39&amp;"_1",管理者用人口入力シート!A:X,D53,FALSE),0)</f>
        <v>276</v>
      </c>
      <c r="C53" s="17">
        <f>ROUND(VLOOKUP(B$39&amp;"_2",管理者用人口入力シート!A:X,D53,FALSE),0)</f>
        <v>257</v>
      </c>
      <c r="D53" s="2">
        <v>16</v>
      </c>
      <c r="G53" s="1" t="s">
        <v>106</v>
      </c>
      <c r="H53" s="1">
        <f t="shared" si="30"/>
        <v>2025</v>
      </c>
      <c r="I53" s="38">
        <f>ROUND((SUM(H82:I89)/SUM(H69:I89)),2)</f>
        <v>0.41</v>
      </c>
      <c r="J53" s="204"/>
      <c r="K53" s="204"/>
      <c r="L53" s="70"/>
      <c r="M53" s="70"/>
      <c r="N53" s="1" t="s">
        <v>106</v>
      </c>
      <c r="O53" s="1">
        <f t="shared" si="32"/>
        <v>2025</v>
      </c>
      <c r="P53" s="38">
        <f t="shared" si="29"/>
        <v>0.41</v>
      </c>
      <c r="Q53" s="38">
        <f>ROUND((SUM(O82:P89)/SUM(O69:P89)),2)</f>
        <v>0.41</v>
      </c>
    </row>
    <row r="54" spans="1:17" x14ac:dyDescent="0.15">
      <c r="A54" s="2" t="s">
        <v>13</v>
      </c>
      <c r="B54" s="17">
        <f>ROUND(VLOOKUP(B$39&amp;"_1",管理者用人口入力シート!A:X,D54,FALSE),0)</f>
        <v>145</v>
      </c>
      <c r="C54" s="17">
        <f>ROUND(VLOOKUP(B$39&amp;"_2",管理者用人口入力シート!A:X,D54,FALSE),0)</f>
        <v>190</v>
      </c>
      <c r="D54" s="2">
        <v>17</v>
      </c>
      <c r="G54" s="1" t="s">
        <v>107</v>
      </c>
      <c r="H54" s="1">
        <f t="shared" si="30"/>
        <v>2030</v>
      </c>
      <c r="I54" s="38">
        <f>ROUND((SUM(H106:I113)/SUM(H93:I113)),2)</f>
        <v>0.43</v>
      </c>
      <c r="J54" s="204"/>
      <c r="K54" s="204"/>
      <c r="N54" s="1" t="s">
        <v>107</v>
      </c>
      <c r="O54" s="1">
        <f t="shared" si="32"/>
        <v>2030</v>
      </c>
      <c r="P54" s="38">
        <f t="shared" si="29"/>
        <v>0.43</v>
      </c>
      <c r="Q54" s="38">
        <f>ROUND((SUM(O106:P113)/SUM(O93:P113)),2)</f>
        <v>0.43</v>
      </c>
    </row>
    <row r="55" spans="1:17" x14ac:dyDescent="0.15">
      <c r="A55" s="2" t="s">
        <v>14</v>
      </c>
      <c r="B55" s="17">
        <f>ROUND(VLOOKUP(B$39&amp;"_1",管理者用人口入力シート!A:X,D55,FALSE),0)</f>
        <v>160</v>
      </c>
      <c r="C55" s="17">
        <f>ROUND(VLOOKUP(B$39&amp;"_2",管理者用人口入力シート!A:X,D55,FALSE),0)</f>
        <v>183</v>
      </c>
      <c r="D55" s="2">
        <v>18</v>
      </c>
      <c r="G55" s="1" t="s">
        <v>108</v>
      </c>
      <c r="H55" s="1">
        <f t="shared" si="30"/>
        <v>2035</v>
      </c>
      <c r="I55" s="38">
        <f>ROUND((SUM(H130:I137)/SUM(H117:I137)),2)</f>
        <v>0.44</v>
      </c>
      <c r="J55" s="204"/>
      <c r="K55" s="204"/>
      <c r="N55" s="1" t="s">
        <v>108</v>
      </c>
      <c r="O55" s="1">
        <f t="shared" si="32"/>
        <v>2035</v>
      </c>
      <c r="P55" s="38">
        <f t="shared" si="29"/>
        <v>0.44</v>
      </c>
      <c r="Q55" s="38">
        <f>ROUND((SUM(O130:P137)/SUM(O117:P137)),2)</f>
        <v>0.44</v>
      </c>
    </row>
    <row r="56" spans="1:17" x14ac:dyDescent="0.15">
      <c r="A56" s="2" t="s">
        <v>15</v>
      </c>
      <c r="B56" s="17">
        <f>ROUND(VLOOKUP(B$39&amp;"_1",管理者用人口入力シート!A:X,D56,FALSE),0)</f>
        <v>147</v>
      </c>
      <c r="C56" s="17">
        <f>ROUND(VLOOKUP(B$39&amp;"_2",管理者用人口入力シート!A:X,D56,FALSE),0)</f>
        <v>197</v>
      </c>
      <c r="D56" s="2">
        <v>19</v>
      </c>
      <c r="G56" s="1" t="s">
        <v>109</v>
      </c>
      <c r="H56" s="1">
        <f t="shared" si="30"/>
        <v>2040</v>
      </c>
      <c r="I56" s="38">
        <f>ROUND((SUM(H154:I161)/SUM(H141:I161)),2)</f>
        <v>0.45</v>
      </c>
      <c r="J56" s="204"/>
      <c r="K56" s="204"/>
      <c r="N56" s="1" t="s">
        <v>109</v>
      </c>
      <c r="O56" s="1">
        <f t="shared" si="32"/>
        <v>2040</v>
      </c>
      <c r="P56" s="38">
        <f t="shared" si="29"/>
        <v>0.45</v>
      </c>
      <c r="Q56" s="38">
        <f>ROUND((SUM(O154:P161)/SUM(O141:P161)),2)</f>
        <v>0.45</v>
      </c>
    </row>
    <row r="57" spans="1:17" x14ac:dyDescent="0.15">
      <c r="A57" s="2" t="s">
        <v>16</v>
      </c>
      <c r="B57" s="17">
        <f>ROUND(VLOOKUP(B$39&amp;"_1",管理者用人口入力シート!A:X,D57,FALSE),0)</f>
        <v>111</v>
      </c>
      <c r="C57" s="17">
        <f>ROUND(VLOOKUP(B$39&amp;"_2",管理者用人口入力シート!A:X,D57,FALSE),0)</f>
        <v>185</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34</v>
      </c>
      <c r="C58" s="17">
        <f>ROUND(VLOOKUP(B$39&amp;"_2",管理者用人口入力シート!A:X,D58,FALSE),0)</f>
        <v>152</v>
      </c>
      <c r="D58" s="2">
        <v>21</v>
      </c>
      <c r="G58" s="1" t="s">
        <v>58</v>
      </c>
      <c r="H58" s="1">
        <f>H4</f>
        <v>2010</v>
      </c>
      <c r="I58" s="38">
        <f>C34</f>
        <v>0.16</v>
      </c>
      <c r="J58" s="204"/>
      <c r="K58" s="204"/>
      <c r="N58" s="1" t="s">
        <v>58</v>
      </c>
      <c r="O58" s="1">
        <f>O4</f>
        <v>2010</v>
      </c>
      <c r="P58" s="38">
        <f t="shared" ref="P58:P64" si="33">I58</f>
        <v>0.16</v>
      </c>
      <c r="Q58" s="1"/>
    </row>
    <row r="59" spans="1:17" x14ac:dyDescent="0.15">
      <c r="A59" s="2" t="s">
        <v>18</v>
      </c>
      <c r="B59" s="17">
        <f>ROUND(VLOOKUP(B$39&amp;"_1",管理者用人口入力シート!A:X,D59,FALSE),0)</f>
        <v>23</v>
      </c>
      <c r="C59" s="17">
        <f>ROUND(VLOOKUP(B$39&amp;"_2",管理者用人口入力シート!A:X,D59,FALSE),0)</f>
        <v>90</v>
      </c>
      <c r="D59" s="2">
        <v>22</v>
      </c>
      <c r="G59" s="1" t="s">
        <v>57</v>
      </c>
      <c r="H59" s="1">
        <f t="shared" ref="H59:H64" si="34">H5</f>
        <v>2015</v>
      </c>
      <c r="I59" s="38">
        <f t="shared" ref="I59:I60" si="35">C35</f>
        <v>0.19</v>
      </c>
      <c r="J59" s="204"/>
      <c r="K59" s="204"/>
      <c r="N59" s="1" t="s">
        <v>57</v>
      </c>
      <c r="O59" s="1">
        <f t="shared" ref="O59:O64" si="36">O5</f>
        <v>2015</v>
      </c>
      <c r="P59" s="38">
        <f t="shared" si="33"/>
        <v>0.19</v>
      </c>
      <c r="Q59" s="1"/>
    </row>
    <row r="60" spans="1:17" x14ac:dyDescent="0.15">
      <c r="A60" s="2" t="s">
        <v>19</v>
      </c>
      <c r="B60" s="17">
        <f>ROUND(VLOOKUP(B$39&amp;"_1",管理者用人口入力シート!A:X,D60,FALSE),0)</f>
        <v>5</v>
      </c>
      <c r="C60" s="17">
        <f>ROUND(VLOOKUP(B$39&amp;"_2",管理者用人口入力シート!A:X,D60,FALSE),0)</f>
        <v>27</v>
      </c>
      <c r="D60" s="2">
        <v>23</v>
      </c>
      <c r="G60" s="1" t="s">
        <v>62</v>
      </c>
      <c r="H60" s="1">
        <f t="shared" si="34"/>
        <v>2020</v>
      </c>
      <c r="I60" s="38">
        <f t="shared" si="35"/>
        <v>0.2</v>
      </c>
      <c r="J60" s="204"/>
      <c r="K60" s="204"/>
      <c r="N60" s="1" t="s">
        <v>62</v>
      </c>
      <c r="O60" s="1">
        <f t="shared" si="36"/>
        <v>2020</v>
      </c>
      <c r="P60" s="38">
        <f t="shared" si="33"/>
        <v>0.2</v>
      </c>
      <c r="Q60" s="1"/>
    </row>
    <row r="61" spans="1:17" x14ac:dyDescent="0.15">
      <c r="A61" s="2" t="s">
        <v>20</v>
      </c>
      <c r="B61" s="17">
        <f>ROUND(VLOOKUP(B$39&amp;"_1",管理者用人口入力シート!A:X,D61,FALSE),0)</f>
        <v>1</v>
      </c>
      <c r="C61" s="17">
        <f>ROUND(VLOOKUP(B$39&amp;"_2",管理者用人口入力シート!A:X,D61,FALSE),0)</f>
        <v>8</v>
      </c>
      <c r="D61" s="2">
        <v>24</v>
      </c>
      <c r="G61" s="1" t="s">
        <v>106</v>
      </c>
      <c r="H61" s="1">
        <f t="shared" si="34"/>
        <v>2025</v>
      </c>
      <c r="I61" s="38">
        <f>ROUND((SUM(H84:I89)/SUM(H69:I89)),2)</f>
        <v>0.23</v>
      </c>
      <c r="J61" s="204"/>
      <c r="K61" s="204"/>
      <c r="N61" s="1" t="s">
        <v>106</v>
      </c>
      <c r="O61" s="1">
        <f t="shared" si="36"/>
        <v>2025</v>
      </c>
      <c r="P61" s="38">
        <f t="shared" si="33"/>
        <v>0.23</v>
      </c>
      <c r="Q61" s="38">
        <f>ROUND((SUM(O84:P89)/SUM(O69:P89)),2)</f>
        <v>0.23</v>
      </c>
    </row>
    <row r="62" spans="1:17" x14ac:dyDescent="0.15">
      <c r="G62" s="1" t="s">
        <v>107</v>
      </c>
      <c r="H62" s="1">
        <f t="shared" si="34"/>
        <v>2030</v>
      </c>
      <c r="I62" s="38">
        <f>ROUND((SUM(H108:I113)/SUM(H93:I113)),2)</f>
        <v>0.28000000000000003</v>
      </c>
      <c r="J62" s="204"/>
      <c r="K62" s="204"/>
      <c r="N62" s="1" t="s">
        <v>107</v>
      </c>
      <c r="O62" s="1">
        <f t="shared" si="36"/>
        <v>2030</v>
      </c>
      <c r="P62" s="38">
        <f t="shared" si="33"/>
        <v>0.28000000000000003</v>
      </c>
      <c r="Q62" s="38">
        <f>ROUND((SUM(O108:P113)/SUM(O93:P113)),2)</f>
        <v>0.28000000000000003</v>
      </c>
    </row>
    <row r="63" spans="1:17" x14ac:dyDescent="0.15">
      <c r="A63" s="2" t="s">
        <v>384</v>
      </c>
      <c r="B63" s="314">
        <f>管理者入力シート!B6</f>
        <v>2015</v>
      </c>
      <c r="C63" s="315"/>
      <c r="D63" s="2" t="s">
        <v>114</v>
      </c>
      <c r="G63" s="1" t="s">
        <v>108</v>
      </c>
      <c r="H63" s="1">
        <f t="shared" si="34"/>
        <v>2035</v>
      </c>
      <c r="I63" s="38">
        <f>ROUND((SUM(H132:I137)/SUM(H117:I137)),2)</f>
        <v>0.31</v>
      </c>
      <c r="J63" s="204"/>
      <c r="K63" s="204"/>
      <c r="N63" s="1" t="s">
        <v>108</v>
      </c>
      <c r="O63" s="1">
        <f t="shared" si="36"/>
        <v>2035</v>
      </c>
      <c r="P63" s="38">
        <f t="shared" si="33"/>
        <v>0.31</v>
      </c>
      <c r="Q63" s="38">
        <f>ROUND((SUM(O132:P137)/SUM(O117:P137)),2)</f>
        <v>0.31</v>
      </c>
    </row>
    <row r="64" spans="1:17" x14ac:dyDescent="0.15">
      <c r="A64" s="2" t="s">
        <v>115</v>
      </c>
      <c r="B64" s="18" t="s">
        <v>21</v>
      </c>
      <c r="C64" s="18" t="s">
        <v>22</v>
      </c>
      <c r="G64" s="1" t="s">
        <v>109</v>
      </c>
      <c r="H64" s="1">
        <f t="shared" si="34"/>
        <v>2040</v>
      </c>
      <c r="I64" s="38">
        <f>ROUND((SUM(H156:I161)/SUM(H141:I161)),2)</f>
        <v>0.32</v>
      </c>
      <c r="J64" s="204"/>
      <c r="K64" s="204"/>
      <c r="N64" s="1" t="s">
        <v>109</v>
      </c>
      <c r="O64" s="1">
        <f t="shared" si="36"/>
        <v>2040</v>
      </c>
      <c r="P64" s="38">
        <f t="shared" si="33"/>
        <v>0.32</v>
      </c>
      <c r="Q64" s="38">
        <f>ROUND((SUM(O156:P161)/SUM(O141:P161)),2)</f>
        <v>0.32</v>
      </c>
    </row>
    <row r="65" spans="1:21" x14ac:dyDescent="0.15">
      <c r="A65" s="2" t="s">
        <v>0</v>
      </c>
      <c r="B65" s="17">
        <f>ROUND(VLOOKUP(B$63&amp;"_1",管理者用人口入力シート!A:X,D65,FALSE),0)</f>
        <v>95</v>
      </c>
      <c r="C65" s="17">
        <f>ROUND(VLOOKUP(B$63&amp;"_2",管理者用人口入力シート!A:X,D65,FALSE),0)</f>
        <v>99</v>
      </c>
      <c r="D65" s="2">
        <v>4</v>
      </c>
    </row>
    <row r="66" spans="1:21" x14ac:dyDescent="0.15">
      <c r="A66" s="2" t="s">
        <v>1</v>
      </c>
      <c r="B66" s="17">
        <f>ROUND(VLOOKUP(B$63&amp;"_1",管理者用人口入力シート!A:X,D66,FALSE),0)</f>
        <v>119</v>
      </c>
      <c r="C66" s="17">
        <f>ROUND(VLOOKUP(B$63&amp;"_2",管理者用人口入力シート!A:X,D66,FALSE),0)</f>
        <v>122</v>
      </c>
      <c r="D66" s="2">
        <v>5</v>
      </c>
      <c r="G66" s="69" t="s">
        <v>113</v>
      </c>
      <c r="N66" s="69" t="s">
        <v>113</v>
      </c>
    </row>
    <row r="67" spans="1:21" x14ac:dyDescent="0.15">
      <c r="A67" s="2" t="s">
        <v>2</v>
      </c>
      <c r="B67" s="17">
        <f>ROUND(VLOOKUP(B$63&amp;"_1",管理者用人口入力シート!A:X,D67,FALSE),0)</f>
        <v>148</v>
      </c>
      <c r="C67" s="17">
        <f>ROUND(VLOOKUP(B$63&amp;"_2",管理者用人口入力シート!A:X,D67,FALSE),0)</f>
        <v>113</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116</v>
      </c>
      <c r="C68" s="17">
        <f>ROUND(VLOOKUP(B$63&amp;"_2",管理者用人口入力シート!A:X,D68,FALSE),0)</f>
        <v>109</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97</v>
      </c>
      <c r="C69" s="17">
        <f>ROUND(VLOOKUP(B$63&amp;"_2",管理者用人口入力シート!A:X,D69,FALSE),0)</f>
        <v>110</v>
      </c>
      <c r="D69" s="2">
        <v>8</v>
      </c>
      <c r="G69" s="2" t="s">
        <v>0</v>
      </c>
      <c r="H69" s="17">
        <f>ROUND(VLOOKUP(H$67&amp;"_1",管理者用人口入力シート!BH:CE,J69,FALSE),0)</f>
        <v>73</v>
      </c>
      <c r="I69" s="17">
        <f>ROUND(VLOOKUP(H$67&amp;"_2",管理者用人口入力シート!BH:CE,J69,FALSE),0)</f>
        <v>68</v>
      </c>
      <c r="J69" s="2">
        <v>4</v>
      </c>
      <c r="K69" s="12"/>
      <c r="N69" s="2" t="s">
        <v>0</v>
      </c>
      <c r="O69" s="17">
        <f>ROUND(VLOOKUP(O$67&amp;"_1",管理者用人口入力シート!CO:DL,Q69,FALSE),0)</f>
        <v>74</v>
      </c>
      <c r="P69" s="17">
        <f>ROUND(VLOOKUP(O$67&amp;"_2",管理者用人口入力シート!CO:DL,Q69,FALSE),0)</f>
        <v>69</v>
      </c>
      <c r="Q69" s="2">
        <v>4</v>
      </c>
      <c r="U69" s="85"/>
    </row>
    <row r="70" spans="1:21" x14ac:dyDescent="0.15">
      <c r="A70" s="2" t="s">
        <v>5</v>
      </c>
      <c r="B70" s="17">
        <f>ROUND(VLOOKUP(B$63&amp;"_1",管理者用人口入力シート!A:X,D70,FALSE),0)</f>
        <v>113</v>
      </c>
      <c r="C70" s="17">
        <f>ROUND(VLOOKUP(B$63&amp;"_2",管理者用人口入力シート!A:X,D70,FALSE),0)</f>
        <v>123</v>
      </c>
      <c r="D70" s="2">
        <v>9</v>
      </c>
      <c r="G70" s="2" t="s">
        <v>1</v>
      </c>
      <c r="H70" s="17">
        <f>ROUND(VLOOKUP(H$67&amp;"_1",管理者用人口入力シート!BH:CE,J70,FALSE),0)</f>
        <v>108</v>
      </c>
      <c r="I70" s="17">
        <f>ROUND(VLOOKUP(H$67&amp;"_2",管理者用人口入力シート!BH:CE,J70,FALSE),0)</f>
        <v>98</v>
      </c>
      <c r="J70" s="2">
        <v>5</v>
      </c>
      <c r="K70" s="12"/>
      <c r="N70" s="2" t="s">
        <v>1</v>
      </c>
      <c r="O70" s="17">
        <f>ROUND(VLOOKUP(O$67&amp;"_1",管理者用人口入力シート!CO:DL,Q70,FALSE),0)</f>
        <v>108</v>
      </c>
      <c r="P70" s="17">
        <f>ROUND(VLOOKUP(O$67&amp;"_2",管理者用人口入力シート!CO:DL,Q70,FALSE),0)</f>
        <v>98</v>
      </c>
      <c r="Q70" s="2">
        <v>5</v>
      </c>
      <c r="U70" s="85"/>
    </row>
    <row r="71" spans="1:21" x14ac:dyDescent="0.15">
      <c r="A71" s="2" t="s">
        <v>6</v>
      </c>
      <c r="B71" s="17">
        <f>ROUND(VLOOKUP(B$63&amp;"_1",管理者用人口入力シート!A:X,D71,FALSE),0)</f>
        <v>139</v>
      </c>
      <c r="C71" s="17">
        <f>ROUND(VLOOKUP(B$63&amp;"_2",管理者用人口入力シート!A:X,D71,FALSE),0)</f>
        <v>144</v>
      </c>
      <c r="D71" s="2">
        <v>10</v>
      </c>
      <c r="G71" s="2" t="s">
        <v>2</v>
      </c>
      <c r="H71" s="17">
        <f>ROUND(VLOOKUP(H$67&amp;"_1",管理者用人口入力シート!BH:CE,J71,FALSE),0)</f>
        <v>131</v>
      </c>
      <c r="I71" s="17">
        <f>ROUND(VLOOKUP(H$67&amp;"_2",管理者用人口入力シート!BH:CE,J71,FALSE),0)</f>
        <v>126</v>
      </c>
      <c r="J71" s="2">
        <v>6</v>
      </c>
      <c r="K71" s="12"/>
      <c r="N71" s="2" t="s">
        <v>2</v>
      </c>
      <c r="O71" s="17">
        <f>ROUND(VLOOKUP(O$67&amp;"_1",管理者用人口入力シート!CO:DL,Q71,FALSE),0)</f>
        <v>132</v>
      </c>
      <c r="P71" s="17">
        <f>ROUND(VLOOKUP(O$67&amp;"_2",管理者用人口入力シート!CO:DL,Q71,FALSE),0)</f>
        <v>127</v>
      </c>
      <c r="Q71" s="2">
        <v>6</v>
      </c>
      <c r="U71" s="85"/>
    </row>
    <row r="72" spans="1:21" x14ac:dyDescent="0.15">
      <c r="A72" s="2" t="s">
        <v>7</v>
      </c>
      <c r="B72" s="17">
        <f>ROUND(VLOOKUP(B$63&amp;"_1",管理者用人口入力シート!A:X,D72,FALSE),0)</f>
        <v>132</v>
      </c>
      <c r="C72" s="17">
        <f>ROUND(VLOOKUP(B$63&amp;"_2",管理者用人口入力シート!A:X,D72,FALSE),0)</f>
        <v>159</v>
      </c>
      <c r="D72" s="2">
        <v>11</v>
      </c>
      <c r="G72" s="2" t="s">
        <v>3</v>
      </c>
      <c r="H72" s="17">
        <f>ROUND(VLOOKUP(H$67&amp;"_1",管理者用人口入力シート!BH:CE,J72,FALSE),0)</f>
        <v>98</v>
      </c>
      <c r="I72" s="17">
        <f>ROUND(VLOOKUP(H$67&amp;"_2",管理者用人口入力シート!BH:CE,J72,FALSE),0)</f>
        <v>116</v>
      </c>
      <c r="J72" s="2">
        <v>7</v>
      </c>
      <c r="K72" s="12"/>
      <c r="N72" s="2" t="s">
        <v>3</v>
      </c>
      <c r="O72" s="17">
        <f>ROUND(VLOOKUP(O$67&amp;"_1",管理者用人口入力シート!CO:DL,Q72,FALSE),0)</f>
        <v>98</v>
      </c>
      <c r="P72" s="17">
        <f>ROUND(VLOOKUP(O$67&amp;"_2",管理者用人口入力シート!CO:DL,Q72,FALSE),0)</f>
        <v>116</v>
      </c>
      <c r="Q72" s="2">
        <v>7</v>
      </c>
      <c r="U72" s="85"/>
    </row>
    <row r="73" spans="1:21" x14ac:dyDescent="0.15">
      <c r="A73" s="2" t="s">
        <v>8</v>
      </c>
      <c r="B73" s="17">
        <f>ROUND(VLOOKUP(B$63&amp;"_1",管理者用人口入力シート!A:X,D73,FALSE),0)</f>
        <v>143</v>
      </c>
      <c r="C73" s="17">
        <f>ROUND(VLOOKUP(B$63&amp;"_2",管理者用人口入力シート!A:X,D73,FALSE),0)</f>
        <v>145</v>
      </c>
      <c r="D73" s="2">
        <v>12</v>
      </c>
      <c r="G73" s="2" t="s">
        <v>4</v>
      </c>
      <c r="H73" s="17">
        <f>ROUND(VLOOKUP(H$67&amp;"_1",管理者用人口入力シート!BH:CE,J73,FALSE),0)</f>
        <v>83</v>
      </c>
      <c r="I73" s="17">
        <f>ROUND(VLOOKUP(H$67&amp;"_2",管理者用人口入力シート!BH:CE,J73,FALSE),0)</f>
        <v>75</v>
      </c>
      <c r="J73" s="2">
        <v>8</v>
      </c>
      <c r="K73" s="12"/>
      <c r="N73" s="2" t="s">
        <v>4</v>
      </c>
      <c r="O73" s="17">
        <f>ROUND(VLOOKUP(O$67&amp;"_1",管理者用人口入力シート!CO:DL,Q73,FALSE),0)</f>
        <v>83</v>
      </c>
      <c r="P73" s="17">
        <f>ROUND(VLOOKUP(O$67&amp;"_2",管理者用人口入力シート!CO:DL,Q73,FALSE),0)</f>
        <v>75</v>
      </c>
      <c r="Q73" s="2">
        <v>8</v>
      </c>
      <c r="U73" s="85"/>
    </row>
    <row r="74" spans="1:21" x14ac:dyDescent="0.15">
      <c r="A74" s="2" t="s">
        <v>9</v>
      </c>
      <c r="B74" s="17">
        <f>ROUND(VLOOKUP(B$63&amp;"_1",管理者用人口入力シート!A:X,D74,FALSE),0)</f>
        <v>139</v>
      </c>
      <c r="C74" s="17">
        <f>ROUND(VLOOKUP(B$63&amp;"_2",管理者用人口入力シート!A:X,D74,FALSE),0)</f>
        <v>156</v>
      </c>
      <c r="D74" s="2">
        <v>13</v>
      </c>
      <c r="G74" s="2" t="s">
        <v>5</v>
      </c>
      <c r="H74" s="17">
        <f>ROUND(VLOOKUP(H$67&amp;"_1",管理者用人口入力シート!BH:CE,J74,FALSE),0)</f>
        <v>71</v>
      </c>
      <c r="I74" s="17">
        <f>ROUND(VLOOKUP(H$67&amp;"_2",管理者用人口入力シート!BH:CE,J74,FALSE),0)</f>
        <v>60</v>
      </c>
      <c r="J74" s="2">
        <v>9</v>
      </c>
      <c r="K74" s="12"/>
      <c r="N74" s="2" t="s">
        <v>5</v>
      </c>
      <c r="O74" s="17">
        <f>ROUND(VLOOKUP(O$67&amp;"_1",管理者用人口入力シート!CO:DL,Q74,FALSE),0)</f>
        <v>73</v>
      </c>
      <c r="P74" s="17">
        <f>ROUND(VLOOKUP(O$67&amp;"_2",管理者用人口入力シート!CO:DL,Q74,FALSE),0)</f>
        <v>62</v>
      </c>
      <c r="Q74" s="2">
        <v>9</v>
      </c>
      <c r="U74" s="85"/>
    </row>
    <row r="75" spans="1:21" x14ac:dyDescent="0.15">
      <c r="A75" s="2" t="s">
        <v>10</v>
      </c>
      <c r="B75" s="17">
        <f>ROUND(VLOOKUP(B$63&amp;"_1",管理者用人口入力シート!A:X,D75,FALSE),0)</f>
        <v>172</v>
      </c>
      <c r="C75" s="17">
        <f>ROUND(VLOOKUP(B$63&amp;"_2",管理者用人口入力シート!A:X,D75,FALSE),0)</f>
        <v>178</v>
      </c>
      <c r="D75" s="2">
        <v>14</v>
      </c>
      <c r="G75" s="2" t="s">
        <v>6</v>
      </c>
      <c r="H75" s="17">
        <f>ROUND(VLOOKUP(H$67&amp;"_1",管理者用人口入力シート!BH:CE,J75,FALSE),0)</f>
        <v>95</v>
      </c>
      <c r="I75" s="17">
        <f>ROUND(VLOOKUP(H$67&amp;"_2",管理者用人口入力シート!BH:CE,J75,FALSE),0)</f>
        <v>83</v>
      </c>
      <c r="J75" s="2">
        <v>10</v>
      </c>
      <c r="K75" s="12"/>
      <c r="N75" s="2" t="s">
        <v>6</v>
      </c>
      <c r="O75" s="17">
        <f>ROUND(VLOOKUP(O$67&amp;"_1",管理者用人口入力シート!CO:DL,Q75,FALSE),0)</f>
        <v>95</v>
      </c>
      <c r="P75" s="17">
        <f>ROUND(VLOOKUP(O$67&amp;"_2",管理者用人口入力シート!CO:DL,Q75,FALSE),0)</f>
        <v>83</v>
      </c>
      <c r="Q75" s="2">
        <v>10</v>
      </c>
      <c r="U75" s="85"/>
    </row>
    <row r="76" spans="1:21" x14ac:dyDescent="0.15">
      <c r="A76" s="2" t="s">
        <v>11</v>
      </c>
      <c r="B76" s="17">
        <f>ROUND(VLOOKUP(B$63&amp;"_1",管理者用人口入力シート!A:X,D76,FALSE),0)</f>
        <v>225</v>
      </c>
      <c r="C76" s="17">
        <f>ROUND(VLOOKUP(B$63&amp;"_2",管理者用人口入力シート!A:X,D76,FALSE),0)</f>
        <v>242</v>
      </c>
      <c r="D76" s="2">
        <v>15</v>
      </c>
      <c r="G76" s="2" t="s">
        <v>7</v>
      </c>
      <c r="H76" s="17">
        <f>ROUND(VLOOKUP(H$67&amp;"_1",管理者用人口入力シート!BH:CE,J76,FALSE),0)</f>
        <v>129</v>
      </c>
      <c r="I76" s="17">
        <f>ROUND(VLOOKUP(H$67&amp;"_2",管理者用人口入力シート!BH:CE,J76,FALSE),0)</f>
        <v>126</v>
      </c>
      <c r="J76" s="2">
        <v>11</v>
      </c>
      <c r="K76" s="12"/>
      <c r="N76" s="2" t="s">
        <v>7</v>
      </c>
      <c r="O76" s="17">
        <f>ROUND(VLOOKUP(O$67&amp;"_1",管理者用人口入力シート!CO:DL,Q76,FALSE),0)</f>
        <v>129</v>
      </c>
      <c r="P76" s="17">
        <f>ROUND(VLOOKUP(O$67&amp;"_2",管理者用人口入力シート!CO:DL,Q76,FALSE),0)</f>
        <v>126</v>
      </c>
      <c r="Q76" s="2">
        <v>11</v>
      </c>
      <c r="U76" s="85"/>
    </row>
    <row r="77" spans="1:21" x14ac:dyDescent="0.15">
      <c r="A77" s="2" t="s">
        <v>12</v>
      </c>
      <c r="B77" s="17">
        <f>ROUND(VLOOKUP(B$63&amp;"_1",管理者用人口入力シート!A:X,D77,FALSE),0)</f>
        <v>258</v>
      </c>
      <c r="C77" s="17">
        <f>ROUND(VLOOKUP(B$63&amp;"_2",管理者用人口入力シート!A:X,D77,FALSE),0)</f>
        <v>277</v>
      </c>
      <c r="D77" s="2">
        <v>16</v>
      </c>
      <c r="G77" s="2" t="s">
        <v>8</v>
      </c>
      <c r="H77" s="17">
        <f>ROUND(VLOOKUP(H$67&amp;"_1",管理者用人口入力シート!BH:CE,J77,FALSE),0)</f>
        <v>157</v>
      </c>
      <c r="I77" s="17">
        <f>ROUND(VLOOKUP(H$67&amp;"_2",管理者用人口入力シート!BH:CE,J77,FALSE),0)</f>
        <v>157</v>
      </c>
      <c r="J77" s="2">
        <v>12</v>
      </c>
      <c r="K77" s="12"/>
      <c r="N77" s="2" t="s">
        <v>8</v>
      </c>
      <c r="O77" s="17">
        <f>ROUND(VLOOKUP(O$67&amp;"_1",管理者用人口入力シート!CO:DL,Q77,FALSE),0)</f>
        <v>157</v>
      </c>
      <c r="P77" s="17">
        <f>ROUND(VLOOKUP(O$67&amp;"_2",管理者用人口入力シート!CO:DL,Q77,FALSE),0)</f>
        <v>158</v>
      </c>
      <c r="Q77" s="2">
        <v>12</v>
      </c>
      <c r="U77" s="85"/>
    </row>
    <row r="78" spans="1:21" x14ac:dyDescent="0.15">
      <c r="A78" s="2" t="s">
        <v>13</v>
      </c>
      <c r="B78" s="17">
        <f>ROUND(VLOOKUP(B$63&amp;"_1",管理者用人口入力シート!A:X,D78,FALSE),0)</f>
        <v>252</v>
      </c>
      <c r="C78" s="17">
        <f>ROUND(VLOOKUP(B$63&amp;"_2",管理者用人口入力シート!A:X,D78,FALSE),0)</f>
        <v>255</v>
      </c>
      <c r="D78" s="2">
        <v>17</v>
      </c>
      <c r="G78" s="2" t="s">
        <v>9</v>
      </c>
      <c r="H78" s="17">
        <f>ROUND(VLOOKUP(H$67&amp;"_1",管理者用人口入力シート!BH:CE,J78,FALSE),0)</f>
        <v>144</v>
      </c>
      <c r="I78" s="17">
        <f>ROUND(VLOOKUP(H$67&amp;"_2",管理者用人口入力シート!BH:CE,J78,FALSE),0)</f>
        <v>173</v>
      </c>
      <c r="J78" s="2">
        <v>13</v>
      </c>
      <c r="K78" s="12"/>
      <c r="N78" s="2" t="s">
        <v>9</v>
      </c>
      <c r="O78" s="17">
        <f>ROUND(VLOOKUP(O$67&amp;"_1",管理者用人口入力シート!CO:DL,Q78,FALSE),0)</f>
        <v>144</v>
      </c>
      <c r="P78" s="17">
        <f>ROUND(VLOOKUP(O$67&amp;"_2",管理者用人口入力シート!CO:DL,Q78,FALSE),0)</f>
        <v>173</v>
      </c>
      <c r="Q78" s="2">
        <v>13</v>
      </c>
      <c r="U78" s="85"/>
    </row>
    <row r="79" spans="1:21" x14ac:dyDescent="0.15">
      <c r="A79" s="2" t="s">
        <v>14</v>
      </c>
      <c r="B79" s="17">
        <f>ROUND(VLOOKUP(B$63&amp;"_1",管理者用人口入力シート!A:X,D79,FALSE),0)</f>
        <v>138</v>
      </c>
      <c r="C79" s="17">
        <f>ROUND(VLOOKUP(B$63&amp;"_2",管理者用人口入力シート!A:X,D79,FALSE),0)</f>
        <v>188</v>
      </c>
      <c r="D79" s="2">
        <v>18</v>
      </c>
      <c r="G79" s="2" t="s">
        <v>10</v>
      </c>
      <c r="H79" s="17">
        <f>ROUND(VLOOKUP(H$67&amp;"_1",管理者用人口入力シート!BH:CE,J79,FALSE),0)</f>
        <v>150</v>
      </c>
      <c r="I79" s="17">
        <f>ROUND(VLOOKUP(H$67&amp;"_2",管理者用人口入力シート!BH:CE,J79,FALSE),0)</f>
        <v>144</v>
      </c>
      <c r="J79" s="2">
        <v>14</v>
      </c>
      <c r="K79" s="12"/>
      <c r="N79" s="2" t="s">
        <v>10</v>
      </c>
      <c r="O79" s="17">
        <f>ROUND(VLOOKUP(O$67&amp;"_1",管理者用人口入力シート!CO:DL,Q79,FALSE),0)</f>
        <v>150</v>
      </c>
      <c r="P79" s="17">
        <f>ROUND(VLOOKUP(O$67&amp;"_2",管理者用人口入力シート!CO:DL,Q79,FALSE),0)</f>
        <v>144</v>
      </c>
      <c r="Q79" s="2">
        <v>14</v>
      </c>
      <c r="U79" s="85"/>
    </row>
    <row r="80" spans="1:21" x14ac:dyDescent="0.15">
      <c r="A80" s="2" t="s">
        <v>15</v>
      </c>
      <c r="B80" s="17">
        <f>ROUND(VLOOKUP(B$63&amp;"_1",管理者用人口入力シート!A:X,D80,FALSE),0)</f>
        <v>133</v>
      </c>
      <c r="C80" s="17">
        <f>ROUND(VLOOKUP(B$63&amp;"_2",管理者用人口入力シート!A:X,D80,FALSE),0)</f>
        <v>183</v>
      </c>
      <c r="D80" s="2">
        <v>19</v>
      </c>
      <c r="G80" s="2" t="s">
        <v>11</v>
      </c>
      <c r="H80" s="17">
        <f>ROUND(VLOOKUP(H$67&amp;"_1",管理者用人口入力シート!BH:CE,J80,FALSE),0)</f>
        <v>138</v>
      </c>
      <c r="I80" s="17">
        <f>ROUND(VLOOKUP(H$67&amp;"_2",管理者用人口入力シート!BH:CE,J80,FALSE),0)</f>
        <v>152</v>
      </c>
      <c r="J80" s="2">
        <v>15</v>
      </c>
      <c r="K80" s="12"/>
      <c r="N80" s="2" t="s">
        <v>11</v>
      </c>
      <c r="O80" s="17">
        <f>ROUND(VLOOKUP(O$67&amp;"_1",管理者用人口入力シート!CO:DL,Q80,FALSE),0)</f>
        <v>138</v>
      </c>
      <c r="P80" s="17">
        <f>ROUND(VLOOKUP(O$67&amp;"_2",管理者用人口入力シート!CO:DL,Q80,FALSE),0)</f>
        <v>152</v>
      </c>
      <c r="Q80" s="2">
        <v>15</v>
      </c>
      <c r="U80" s="85"/>
    </row>
    <row r="81" spans="1:21" x14ac:dyDescent="0.15">
      <c r="A81" s="2" t="s">
        <v>16</v>
      </c>
      <c r="B81" s="17">
        <f>ROUND(VLOOKUP(B$63&amp;"_1",管理者用人口入力シート!A:X,D81,FALSE),0)</f>
        <v>125</v>
      </c>
      <c r="C81" s="17">
        <f>ROUND(VLOOKUP(B$63&amp;"_2",管理者用人口入力シート!A:X,D81,FALSE),0)</f>
        <v>195</v>
      </c>
      <c r="D81" s="2">
        <v>20</v>
      </c>
      <c r="G81" s="2" t="s">
        <v>12</v>
      </c>
      <c r="H81" s="17">
        <f>ROUND(VLOOKUP(H$67&amp;"_1",管理者用人口入力シート!BH:CE,J81,FALSE),0)</f>
        <v>160</v>
      </c>
      <c r="I81" s="17">
        <f>ROUND(VLOOKUP(H$67&amp;"_2",管理者用人口入力シート!BH:CE,J81,FALSE),0)</f>
        <v>168</v>
      </c>
      <c r="J81" s="2">
        <v>16</v>
      </c>
      <c r="K81" s="12"/>
      <c r="N81" s="2" t="s">
        <v>12</v>
      </c>
      <c r="O81" s="17">
        <f>ROUND(VLOOKUP(O$67&amp;"_1",管理者用人口入力シート!CO:DL,Q81,FALSE),0)</f>
        <v>160</v>
      </c>
      <c r="P81" s="17">
        <f>ROUND(VLOOKUP(O$67&amp;"_2",管理者用人口入力シート!CO:DL,Q81,FALSE),0)</f>
        <v>168</v>
      </c>
      <c r="Q81" s="2">
        <v>16</v>
      </c>
      <c r="U81" s="85"/>
    </row>
    <row r="82" spans="1:21" x14ac:dyDescent="0.15">
      <c r="A82" s="2" t="s">
        <v>17</v>
      </c>
      <c r="B82" s="17">
        <f>ROUND(VLOOKUP(B$63&amp;"_1",管理者用人口入力シート!A:X,D82,FALSE),0)</f>
        <v>84</v>
      </c>
      <c r="C82" s="17">
        <f>ROUND(VLOOKUP(B$63&amp;"_2",管理者用人口入力シート!A:X,D82,FALSE),0)</f>
        <v>185</v>
      </c>
      <c r="D82" s="2">
        <v>21</v>
      </c>
      <c r="G82" s="2" t="s">
        <v>13</v>
      </c>
      <c r="H82" s="17">
        <f>ROUND(VLOOKUP(H$67&amp;"_1",管理者用人口入力シート!BH:CE,J82,FALSE),0)</f>
        <v>212</v>
      </c>
      <c r="I82" s="17">
        <f>ROUND(VLOOKUP(H$67&amp;"_2",管理者用人口入力シート!BH:CE,J82,FALSE),0)</f>
        <v>240</v>
      </c>
      <c r="J82" s="2">
        <v>17</v>
      </c>
      <c r="K82" s="12"/>
      <c r="N82" s="2" t="s">
        <v>13</v>
      </c>
      <c r="O82" s="17">
        <f>ROUND(VLOOKUP(O$67&amp;"_1",管理者用人口入力シート!CO:DL,Q82,FALSE),0)</f>
        <v>212</v>
      </c>
      <c r="P82" s="17">
        <f>ROUND(VLOOKUP(O$67&amp;"_2",管理者用人口入力シート!CO:DL,Q82,FALSE),0)</f>
        <v>240</v>
      </c>
      <c r="Q82" s="2">
        <v>17</v>
      </c>
      <c r="U82" s="85"/>
    </row>
    <row r="83" spans="1:21" x14ac:dyDescent="0.15">
      <c r="A83" s="2" t="s">
        <v>18</v>
      </c>
      <c r="B83" s="17">
        <f>ROUND(VLOOKUP(B$63&amp;"_1",管理者用人口入力シート!A:X,D83,FALSE),0)</f>
        <v>18</v>
      </c>
      <c r="C83" s="17">
        <f>ROUND(VLOOKUP(B$63&amp;"_2",管理者用人口入力シート!A:X,D83,FALSE),0)</f>
        <v>119</v>
      </c>
      <c r="D83" s="2">
        <v>22</v>
      </c>
      <c r="G83" s="2" t="s">
        <v>14</v>
      </c>
      <c r="H83" s="17">
        <f>ROUND(VLOOKUP(H$67&amp;"_1",管理者用人口入力シート!BH:CE,J83,FALSE),0)</f>
        <v>232</v>
      </c>
      <c r="I83" s="17">
        <f>ROUND(VLOOKUP(H$67&amp;"_2",管理者用人口入力シート!BH:CE,J83,FALSE),0)</f>
        <v>265</v>
      </c>
      <c r="J83" s="2">
        <v>18</v>
      </c>
      <c r="K83" s="12"/>
      <c r="N83" s="2" t="s">
        <v>14</v>
      </c>
      <c r="O83" s="17">
        <f>ROUND(VLOOKUP(O$67&amp;"_1",管理者用人口入力シート!CO:DL,Q83,FALSE),0)</f>
        <v>232</v>
      </c>
      <c r="P83" s="17">
        <f>ROUND(VLOOKUP(O$67&amp;"_2",管理者用人口入力シート!CO:DL,Q83,FALSE),0)</f>
        <v>265</v>
      </c>
      <c r="Q83" s="2">
        <v>18</v>
      </c>
      <c r="U83" s="85"/>
    </row>
    <row r="84" spans="1:21" x14ac:dyDescent="0.15">
      <c r="A84" s="2" t="s">
        <v>19</v>
      </c>
      <c r="B84" s="17">
        <f>ROUND(VLOOKUP(B$63&amp;"_1",管理者用人口入力シート!A:X,D84,FALSE),0)</f>
        <v>7</v>
      </c>
      <c r="C84" s="17">
        <f>ROUND(VLOOKUP(B$63&amp;"_2",管理者用人口入力シート!A:X,D84,FALSE),0)</f>
        <v>44</v>
      </c>
      <c r="D84" s="2">
        <v>23</v>
      </c>
      <c r="G84" s="2" t="s">
        <v>15</v>
      </c>
      <c r="H84" s="17">
        <f>ROUND(VLOOKUP(H$67&amp;"_1",管理者用人口入力シート!BH:CE,J84,FALSE),0)</f>
        <v>203</v>
      </c>
      <c r="I84" s="17">
        <f>ROUND(VLOOKUP(H$67&amp;"_2",管理者用人口入力シート!BH:CE,J84,FALSE),0)</f>
        <v>232</v>
      </c>
      <c r="J84" s="2">
        <v>19</v>
      </c>
      <c r="K84" s="12"/>
      <c r="N84" s="2" t="s">
        <v>15</v>
      </c>
      <c r="O84" s="17">
        <f>ROUND(VLOOKUP(O$67&amp;"_1",管理者用人口入力シート!CO:DL,Q84,FALSE),0)</f>
        <v>203</v>
      </c>
      <c r="P84" s="17">
        <f>ROUND(VLOOKUP(O$67&amp;"_2",管理者用人口入力シート!CO:DL,Q84,FALSE),0)</f>
        <v>232</v>
      </c>
      <c r="Q84" s="2">
        <v>19</v>
      </c>
      <c r="U84" s="85"/>
    </row>
    <row r="85" spans="1:21" x14ac:dyDescent="0.15">
      <c r="A85" s="2" t="s">
        <v>20</v>
      </c>
      <c r="B85" s="17">
        <f>ROUND(VLOOKUP(B$63&amp;"_1",管理者用人口入力シート!A:X,D85,FALSE),0)</f>
        <v>1</v>
      </c>
      <c r="C85" s="17">
        <f>ROUND(VLOOKUP(B$63&amp;"_2",管理者用人口入力シート!A:X,D85,FALSE),0)</f>
        <v>5</v>
      </c>
      <c r="D85" s="2">
        <v>24</v>
      </c>
      <c r="G85" s="2" t="s">
        <v>16</v>
      </c>
      <c r="H85" s="17">
        <f>ROUND(VLOOKUP(H$67&amp;"_1",管理者用人口入力シート!BH:CE,J85,FALSE),0)</f>
        <v>103</v>
      </c>
      <c r="I85" s="17">
        <f>ROUND(VLOOKUP(H$67&amp;"_2",管理者用人口入力シート!BH:CE,J85,FALSE),0)</f>
        <v>174</v>
      </c>
      <c r="J85" s="2">
        <v>20</v>
      </c>
      <c r="K85" s="12"/>
      <c r="N85" s="2" t="s">
        <v>16</v>
      </c>
      <c r="O85" s="17">
        <f>ROUND(VLOOKUP(O$67&amp;"_1",管理者用人口入力シート!CO:DL,Q85,FALSE),0)</f>
        <v>103</v>
      </c>
      <c r="P85" s="17">
        <f>ROUND(VLOOKUP(O$67&amp;"_2",管理者用人口入力シート!CO:DL,Q85,FALSE),0)</f>
        <v>174</v>
      </c>
      <c r="Q85" s="2">
        <v>20</v>
      </c>
      <c r="U85" s="85"/>
    </row>
    <row r="86" spans="1:21" x14ac:dyDescent="0.15">
      <c r="G86" s="2" t="s">
        <v>17</v>
      </c>
      <c r="H86" s="17">
        <f>ROUND(VLOOKUP(H$67&amp;"_1",管理者用人口入力シート!BH:CE,J86,FALSE),0)</f>
        <v>80</v>
      </c>
      <c r="I86" s="17">
        <f>ROUND(VLOOKUP(H$67&amp;"_2",管理者用人口入力シート!BH:CE,J86,FALSE),0)</f>
        <v>181</v>
      </c>
      <c r="J86" s="2">
        <v>21</v>
      </c>
      <c r="K86" s="12"/>
      <c r="N86" s="2" t="s">
        <v>17</v>
      </c>
      <c r="O86" s="17">
        <f>ROUND(VLOOKUP(O$67&amp;"_1",管理者用人口入力シート!CO:DL,Q86,FALSE),0)</f>
        <v>80</v>
      </c>
      <c r="P86" s="17">
        <f>ROUND(VLOOKUP(O$67&amp;"_2",管理者用人口入力シート!CO:DL,Q86,FALSE),0)</f>
        <v>181</v>
      </c>
      <c r="Q86" s="2">
        <v>21</v>
      </c>
      <c r="U86" s="85"/>
    </row>
    <row r="87" spans="1:21" x14ac:dyDescent="0.15">
      <c r="A87" s="2" t="s">
        <v>62</v>
      </c>
      <c r="B87" s="314">
        <f>管理者入力シート!B5</f>
        <v>2020</v>
      </c>
      <c r="C87" s="315"/>
      <c r="D87" s="2" t="s">
        <v>114</v>
      </c>
      <c r="G87" s="2" t="s">
        <v>18</v>
      </c>
      <c r="H87" s="17">
        <f>ROUND(VLOOKUP(H$67&amp;"_1",管理者用人口入力シート!BH:CE,J87,FALSE),0)</f>
        <v>43</v>
      </c>
      <c r="I87" s="17">
        <f>ROUND(VLOOKUP(H$67&amp;"_2",管理者用人口入力シート!BH:CE,J87,FALSE),0)</f>
        <v>134</v>
      </c>
      <c r="J87" s="2">
        <v>22</v>
      </c>
      <c r="K87" s="12"/>
      <c r="N87" s="2" t="s">
        <v>18</v>
      </c>
      <c r="O87" s="17">
        <f>ROUND(VLOOKUP(O$67&amp;"_1",管理者用人口入力シート!CO:DL,Q87,FALSE),0)</f>
        <v>43</v>
      </c>
      <c r="P87" s="17">
        <f>ROUND(VLOOKUP(O$67&amp;"_2",管理者用人口入力シート!CO:DL,Q87,FALSE),0)</f>
        <v>134</v>
      </c>
      <c r="Q87" s="2">
        <v>22</v>
      </c>
      <c r="U87" s="85"/>
    </row>
    <row r="88" spans="1:21" x14ac:dyDescent="0.15">
      <c r="A88" s="2" t="s">
        <v>115</v>
      </c>
      <c r="B88" s="18" t="s">
        <v>21</v>
      </c>
      <c r="C88" s="18" t="s">
        <v>22</v>
      </c>
      <c r="G88" s="2" t="s">
        <v>19</v>
      </c>
      <c r="H88" s="17">
        <f>ROUND(VLOOKUP(H$67&amp;"_1",管理者用人口入力シート!BH:CE,J88,FALSE),0)</f>
        <v>10</v>
      </c>
      <c r="I88" s="17">
        <f>ROUND(VLOOKUP(H$67&amp;"_2",管理者用人口入力シート!BH:CE,J88,FALSE),0)</f>
        <v>55</v>
      </c>
      <c r="J88" s="2">
        <v>23</v>
      </c>
      <c r="K88" s="12"/>
      <c r="N88" s="2" t="s">
        <v>19</v>
      </c>
      <c r="O88" s="17">
        <f>ROUND(VLOOKUP(O$67&amp;"_1",管理者用人口入力シート!CO:DL,Q88,FALSE),0)</f>
        <v>10</v>
      </c>
      <c r="P88" s="17">
        <f>ROUND(VLOOKUP(O$67&amp;"_2",管理者用人口入力シート!CO:DL,Q88,FALSE),0)</f>
        <v>55</v>
      </c>
      <c r="Q88" s="2">
        <v>23</v>
      </c>
      <c r="U88" s="85"/>
    </row>
    <row r="89" spans="1:21" x14ac:dyDescent="0.15">
      <c r="A89" s="2" t="s">
        <v>0</v>
      </c>
      <c r="B89" s="17">
        <f>ROUND(VLOOKUP(B$87&amp;"_1",管理者用人口入力シート!A:X,D89,FALSE),0)</f>
        <v>92</v>
      </c>
      <c r="C89" s="17">
        <f>ROUND(VLOOKUP(B$87&amp;"_2",管理者用人口入力シート!A:X,D89,FALSE),0)</f>
        <v>86</v>
      </c>
      <c r="D89" s="2">
        <v>4</v>
      </c>
      <c r="G89" s="2" t="s">
        <v>20</v>
      </c>
      <c r="H89" s="17">
        <f>ROUND(VLOOKUP(H$67&amp;"_1",管理者用人口入力シート!BH:CE,J89,FALSE),0)</f>
        <v>1</v>
      </c>
      <c r="I89" s="17">
        <f>ROUND(VLOOKUP(H$67&amp;"_2",管理者用人口入力シート!BH:CE,J89,FALSE),0)</f>
        <v>11</v>
      </c>
      <c r="J89" s="2">
        <v>24</v>
      </c>
      <c r="K89" s="12"/>
      <c r="N89" s="2" t="s">
        <v>20</v>
      </c>
      <c r="O89" s="17">
        <f>ROUND(VLOOKUP(O$67&amp;"_1",管理者用人口入力シート!CO:DL,Q89,FALSE),0)</f>
        <v>1</v>
      </c>
      <c r="P89" s="17">
        <f>ROUND(VLOOKUP(O$67&amp;"_2",管理者用人口入力シート!CO:DL,Q89,FALSE),0)</f>
        <v>11</v>
      </c>
      <c r="Q89" s="2">
        <v>24</v>
      </c>
      <c r="U89" s="85"/>
    </row>
    <row r="90" spans="1:21" x14ac:dyDescent="0.15">
      <c r="A90" s="2" t="s">
        <v>1</v>
      </c>
      <c r="B90" s="17">
        <f>ROUND(VLOOKUP(B$87&amp;"_1",管理者用人口入力シート!A:X,D90,FALSE),0)</f>
        <v>128</v>
      </c>
      <c r="C90" s="17">
        <f>ROUND(VLOOKUP(B$87&amp;"_2",管理者用人口入力シート!A:X,D90,FALSE),0)</f>
        <v>117</v>
      </c>
      <c r="D90" s="2">
        <v>5</v>
      </c>
    </row>
    <row r="91" spans="1:21" x14ac:dyDescent="0.15">
      <c r="A91" s="2" t="s">
        <v>2</v>
      </c>
      <c r="B91" s="17">
        <f>ROUND(VLOOKUP(B$87&amp;"_1",管理者用人口入力シート!A:X,D91,FALSE),0)</f>
        <v>117</v>
      </c>
      <c r="C91" s="17">
        <f>ROUND(VLOOKUP(B$87&amp;"_2",管理者用人口入力シート!A:X,D91,FALSE),0)</f>
        <v>132</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124</v>
      </c>
      <c r="C92" s="17">
        <f>ROUND(VLOOKUP(B$87&amp;"_2",管理者用人口入力シート!A:X,D92,FALSE),0)</f>
        <v>105</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77</v>
      </c>
      <c r="C93" s="17">
        <f>ROUND(VLOOKUP(B$87&amp;"_2",管理者用人口入力シート!A:X,D93,FALSE),0)</f>
        <v>70</v>
      </c>
      <c r="D93" s="2">
        <v>8</v>
      </c>
      <c r="G93" s="2" t="s">
        <v>0</v>
      </c>
      <c r="H93" s="17">
        <f>ROUND(VLOOKUP(H$91&amp;"_1",管理者用人口入力シート!BH:CE,J93,FALSE),0)</f>
        <v>62</v>
      </c>
      <c r="I93" s="17">
        <f>ROUND(VLOOKUP(H$91&amp;"_2",管理者用人口入力シート!BH:CE,J93,FALSE),0)</f>
        <v>58</v>
      </c>
      <c r="J93" s="2">
        <v>4</v>
      </c>
      <c r="K93" s="12"/>
      <c r="N93" s="2" t="s">
        <v>0</v>
      </c>
      <c r="O93" s="17">
        <f>ROUND(VLOOKUP(O$91&amp;"_1",管理者用人口入力シート!CO:DL,Q93,FALSE),0)</f>
        <v>64</v>
      </c>
      <c r="P93" s="17">
        <f>ROUND(VLOOKUP(O$91&amp;"_2",管理者用人口入力シート!CO:DL,Q93,FALSE),0)</f>
        <v>60</v>
      </c>
      <c r="Q93" s="2">
        <v>4</v>
      </c>
      <c r="T93" s="85"/>
    </row>
    <row r="94" spans="1:21" x14ac:dyDescent="0.15">
      <c r="A94" s="2" t="s">
        <v>5</v>
      </c>
      <c r="B94" s="17">
        <f>ROUND(VLOOKUP(B$87&amp;"_1",管理者用人口入力シート!A:X,D94,FALSE),0)</f>
        <v>93</v>
      </c>
      <c r="C94" s="17">
        <f>ROUND(VLOOKUP(B$87&amp;"_2",管理者用人口入力シート!A:X,D94,FALSE),0)</f>
        <v>89</v>
      </c>
      <c r="D94" s="2">
        <v>9</v>
      </c>
      <c r="G94" s="2" t="s">
        <v>1</v>
      </c>
      <c r="H94" s="17">
        <f>ROUND(VLOOKUP(H$91&amp;"_1",管理者用人口入力シート!BH:CE,J94,FALSE),0)</f>
        <v>86</v>
      </c>
      <c r="I94" s="17">
        <f>ROUND(VLOOKUP(H$91&amp;"_2",管理者用人口入力シート!BH:CE,J94,FALSE),0)</f>
        <v>78</v>
      </c>
      <c r="J94" s="2">
        <v>5</v>
      </c>
      <c r="K94" s="12"/>
      <c r="N94" s="2" t="s">
        <v>1</v>
      </c>
      <c r="O94" s="17">
        <f>ROUND(VLOOKUP(O$91&amp;"_1",管理者用人口入力シート!CO:DL,Q94,FALSE),0)</f>
        <v>87</v>
      </c>
      <c r="P94" s="17">
        <f>ROUND(VLOOKUP(O$91&amp;"_2",管理者用人口入力シート!CO:DL,Q94,FALSE),0)</f>
        <v>79</v>
      </c>
      <c r="Q94" s="2">
        <v>5</v>
      </c>
      <c r="T94" s="85"/>
    </row>
    <row r="95" spans="1:21" x14ac:dyDescent="0.15">
      <c r="A95" s="2" t="s">
        <v>6</v>
      </c>
      <c r="B95" s="17">
        <f>ROUND(VLOOKUP(B$87&amp;"_1",管理者用人口入力シート!A:X,D95,FALSE),0)</f>
        <v>124</v>
      </c>
      <c r="C95" s="17">
        <f>ROUND(VLOOKUP(B$87&amp;"_2",管理者用人口入力シート!A:X,D95,FALSE),0)</f>
        <v>118</v>
      </c>
      <c r="D95" s="2">
        <v>10</v>
      </c>
      <c r="G95" s="2" t="s">
        <v>2</v>
      </c>
      <c r="H95" s="17">
        <f>ROUND(VLOOKUP(H$91&amp;"_1",管理者用人口入力シート!BH:CE,J95,FALSE),0)</f>
        <v>111</v>
      </c>
      <c r="I95" s="17">
        <f>ROUND(VLOOKUP(H$91&amp;"_2",管理者用人口入力シート!BH:CE,J95,FALSE),0)</f>
        <v>105</v>
      </c>
      <c r="J95" s="2">
        <v>6</v>
      </c>
      <c r="K95" s="12"/>
      <c r="N95" s="2" t="s">
        <v>2</v>
      </c>
      <c r="O95" s="17">
        <f>ROUND(VLOOKUP(O$91&amp;"_1",管理者用人口入力シート!CO:DL,Q95,FALSE),0)</f>
        <v>112</v>
      </c>
      <c r="P95" s="17">
        <f>ROUND(VLOOKUP(O$91&amp;"_2",管理者用人口入力シート!CO:DL,Q95,FALSE),0)</f>
        <v>106</v>
      </c>
      <c r="Q95" s="2">
        <v>6</v>
      </c>
      <c r="T95" s="85"/>
    </row>
    <row r="96" spans="1:21" x14ac:dyDescent="0.15">
      <c r="A96" s="2" t="s">
        <v>7</v>
      </c>
      <c r="B96" s="17">
        <f>ROUND(VLOOKUP(B$87&amp;"_1",管理者用人口入力シート!A:X,D96,FALSE),0)</f>
        <v>155</v>
      </c>
      <c r="C96" s="17">
        <f>ROUND(VLOOKUP(B$87&amp;"_2",管理者用人口入力シート!A:X,D96,FALSE),0)</f>
        <v>155</v>
      </c>
      <c r="D96" s="2">
        <v>11</v>
      </c>
      <c r="G96" s="2" t="s">
        <v>3</v>
      </c>
      <c r="H96" s="17">
        <f>ROUND(VLOOKUP(H$91&amp;"_1",管理者用人口入力シート!BH:CE,J96,FALSE),0)</f>
        <v>110</v>
      </c>
      <c r="I96" s="17">
        <f>ROUND(VLOOKUP(H$91&amp;"_2",管理者用人口入力シート!BH:CE,J96,FALSE),0)</f>
        <v>111</v>
      </c>
      <c r="J96" s="2">
        <v>7</v>
      </c>
      <c r="K96" s="12"/>
      <c r="N96" s="2" t="s">
        <v>3</v>
      </c>
      <c r="O96" s="17">
        <f>ROUND(VLOOKUP(O$91&amp;"_1",管理者用人口入力シート!CO:DL,Q96,FALSE),0)</f>
        <v>111</v>
      </c>
      <c r="P96" s="17">
        <f>ROUND(VLOOKUP(O$91&amp;"_2",管理者用人口入力シート!CO:DL,Q96,FALSE),0)</f>
        <v>112</v>
      </c>
      <c r="Q96" s="2">
        <v>7</v>
      </c>
      <c r="T96" s="85"/>
    </row>
    <row r="97" spans="1:20" x14ac:dyDescent="0.15">
      <c r="A97" s="2" t="s">
        <v>8</v>
      </c>
      <c r="B97" s="17">
        <f>ROUND(VLOOKUP(B$87&amp;"_1",管理者用人口入力シート!A:X,D97,FALSE),0)</f>
        <v>141</v>
      </c>
      <c r="C97" s="17">
        <f>ROUND(VLOOKUP(B$87&amp;"_2",管理者用人口入力シート!A:X,D97,FALSE),0)</f>
        <v>169</v>
      </c>
      <c r="D97" s="2">
        <v>12</v>
      </c>
      <c r="G97" s="2" t="s">
        <v>4</v>
      </c>
      <c r="H97" s="17">
        <f>ROUND(VLOOKUP(H$91&amp;"_1",管理者用人口入力シート!BH:CE,J97,FALSE),0)</f>
        <v>65</v>
      </c>
      <c r="I97" s="17">
        <f>ROUND(VLOOKUP(H$91&amp;"_2",管理者用人口入力シート!BH:CE,J97,FALSE),0)</f>
        <v>83</v>
      </c>
      <c r="J97" s="2">
        <v>8</v>
      </c>
      <c r="K97" s="12"/>
      <c r="N97" s="2" t="s">
        <v>4</v>
      </c>
      <c r="O97" s="17">
        <f>ROUND(VLOOKUP(O$91&amp;"_1",管理者用人口入力シート!CO:DL,Q97,FALSE),0)</f>
        <v>65</v>
      </c>
      <c r="P97" s="17">
        <f>ROUND(VLOOKUP(O$91&amp;"_2",管理者用人口入力シート!CO:DL,Q97,FALSE),0)</f>
        <v>83</v>
      </c>
      <c r="Q97" s="2">
        <v>8</v>
      </c>
      <c r="T97" s="85"/>
    </row>
    <row r="98" spans="1:20" x14ac:dyDescent="0.15">
      <c r="A98" s="2" t="s">
        <v>9</v>
      </c>
      <c r="B98" s="17">
        <f>ROUND(VLOOKUP(B$87&amp;"_1",管理者用人口入力シート!A:X,D98,FALSE),0)</f>
        <v>147</v>
      </c>
      <c r="C98" s="17">
        <f>ROUND(VLOOKUP(B$87&amp;"_2",管理者用人口入力シート!A:X,D98,FALSE),0)</f>
        <v>150</v>
      </c>
      <c r="D98" s="2">
        <v>13</v>
      </c>
      <c r="G98" s="2" t="s">
        <v>5</v>
      </c>
      <c r="H98" s="17">
        <f>ROUND(VLOOKUP(H$91&amp;"_1",管理者用人口入力シート!BH:CE,J98,FALSE),0)</f>
        <v>76</v>
      </c>
      <c r="I98" s="17">
        <f>ROUND(VLOOKUP(H$91&amp;"_2",管理者用人口入力シート!BH:CE,J98,FALSE),0)</f>
        <v>65</v>
      </c>
      <c r="J98" s="2">
        <v>9</v>
      </c>
      <c r="K98" s="12"/>
      <c r="N98" s="2" t="s">
        <v>5</v>
      </c>
      <c r="O98" s="17">
        <f>ROUND(VLOOKUP(O$91&amp;"_1",管理者用人口入力シート!CO:DL,Q98,FALSE),0)</f>
        <v>78</v>
      </c>
      <c r="P98" s="17">
        <f>ROUND(VLOOKUP(O$91&amp;"_2",管理者用人口入力シート!CO:DL,Q98,FALSE),0)</f>
        <v>67</v>
      </c>
      <c r="Q98" s="2">
        <v>9</v>
      </c>
      <c r="T98" s="85"/>
    </row>
    <row r="99" spans="1:20" x14ac:dyDescent="0.15">
      <c r="A99" s="2" t="s">
        <v>10</v>
      </c>
      <c r="B99" s="17">
        <f>ROUND(VLOOKUP(B$87&amp;"_1",管理者用人口入力シート!A:X,D99,FALSE),0)</f>
        <v>143</v>
      </c>
      <c r="C99" s="17">
        <f>ROUND(VLOOKUP(B$87&amp;"_2",管理者用人口入力シート!A:X,D99,FALSE),0)</f>
        <v>152</v>
      </c>
      <c r="D99" s="2">
        <v>14</v>
      </c>
      <c r="G99" s="2" t="s">
        <v>6</v>
      </c>
      <c r="H99" s="17">
        <f>ROUND(VLOOKUP(H$91&amp;"_1",管理者用人口入力シート!BH:CE,J99,FALSE),0)</f>
        <v>73</v>
      </c>
      <c r="I99" s="17">
        <f>ROUND(VLOOKUP(H$91&amp;"_2",管理者用人口入力シート!BH:CE,J99,FALSE),0)</f>
        <v>56</v>
      </c>
      <c r="J99" s="2">
        <v>10</v>
      </c>
      <c r="K99" s="12"/>
      <c r="N99" s="2" t="s">
        <v>6</v>
      </c>
      <c r="O99" s="17">
        <f>ROUND(VLOOKUP(O$91&amp;"_1",管理者用人口入力シート!CO:DL,Q99,FALSE),0)</f>
        <v>75</v>
      </c>
      <c r="P99" s="17">
        <f>ROUND(VLOOKUP(O$91&amp;"_2",管理者用人口入力シート!CO:DL,Q99,FALSE),0)</f>
        <v>58</v>
      </c>
      <c r="Q99" s="2">
        <v>10</v>
      </c>
      <c r="T99" s="85"/>
    </row>
    <row r="100" spans="1:20" x14ac:dyDescent="0.15">
      <c r="A100" s="2" t="s">
        <v>11</v>
      </c>
      <c r="B100" s="17">
        <f>ROUND(VLOOKUP(B$87&amp;"_1",管理者用人口入力シート!A:X,D100,FALSE),0)</f>
        <v>159</v>
      </c>
      <c r="C100" s="17">
        <f>ROUND(VLOOKUP(B$87&amp;"_2",管理者用人口入力シート!A:X,D100,FALSE),0)</f>
        <v>171</v>
      </c>
      <c r="D100" s="2">
        <v>15</v>
      </c>
      <c r="G100" s="2" t="s">
        <v>7</v>
      </c>
      <c r="H100" s="17">
        <f>ROUND(VLOOKUP(H$91&amp;"_1",管理者用人口入力シート!BH:CE,J100,FALSE),0)</f>
        <v>99</v>
      </c>
      <c r="I100" s="17">
        <f>ROUND(VLOOKUP(H$91&amp;"_2",管理者用人口入力シート!BH:CE,J100,FALSE),0)</f>
        <v>88</v>
      </c>
      <c r="J100" s="2">
        <v>11</v>
      </c>
      <c r="K100" s="12"/>
      <c r="N100" s="2" t="s">
        <v>7</v>
      </c>
      <c r="O100" s="17">
        <f>ROUND(VLOOKUP(O$91&amp;"_1",管理者用人口入力シート!CO:DL,Q100,FALSE),0)</f>
        <v>99</v>
      </c>
      <c r="P100" s="17">
        <f>ROUND(VLOOKUP(O$91&amp;"_2",管理者用人口入力シート!CO:DL,Q100,FALSE),0)</f>
        <v>88</v>
      </c>
      <c r="Q100" s="2">
        <v>11</v>
      </c>
      <c r="T100" s="85"/>
    </row>
    <row r="101" spans="1:20" x14ac:dyDescent="0.15">
      <c r="A101" s="2" t="s">
        <v>12</v>
      </c>
      <c r="B101" s="17">
        <f>ROUND(VLOOKUP(B$87&amp;"_1",管理者用人口入力シート!A:X,D101,FALSE),0)</f>
        <v>228</v>
      </c>
      <c r="C101" s="17">
        <f>ROUND(VLOOKUP(B$87&amp;"_2",管理者用人口入力シート!A:X,D101,FALSE),0)</f>
        <v>242</v>
      </c>
      <c r="D101" s="2">
        <v>16</v>
      </c>
      <c r="G101" s="2" t="s">
        <v>8</v>
      </c>
      <c r="H101" s="17">
        <f>ROUND(VLOOKUP(H$91&amp;"_1",管理者用人口入力シート!BH:CE,J101,FALSE),0)</f>
        <v>130</v>
      </c>
      <c r="I101" s="17">
        <f>ROUND(VLOOKUP(H$91&amp;"_2",管理者用人口入力シート!BH:CE,J101,FALSE),0)</f>
        <v>128</v>
      </c>
      <c r="J101" s="2">
        <v>12</v>
      </c>
      <c r="K101" s="12"/>
      <c r="N101" s="2" t="s">
        <v>8</v>
      </c>
      <c r="O101" s="17">
        <f>ROUND(VLOOKUP(O$91&amp;"_1",管理者用人口入力シート!CO:DL,Q101,FALSE),0)</f>
        <v>130</v>
      </c>
      <c r="P101" s="17">
        <f>ROUND(VLOOKUP(O$91&amp;"_2",管理者用人口入力シート!CO:DL,Q101,FALSE),0)</f>
        <v>129</v>
      </c>
      <c r="Q101" s="2">
        <v>12</v>
      </c>
      <c r="T101" s="85"/>
    </row>
    <row r="102" spans="1:20" x14ac:dyDescent="0.15">
      <c r="A102" s="2" t="s">
        <v>13</v>
      </c>
      <c r="B102" s="17">
        <f>ROUND(VLOOKUP(B$87&amp;"_1",管理者用人口入力シート!A:X,D102,FALSE),0)</f>
        <v>246</v>
      </c>
      <c r="C102" s="17">
        <f>ROUND(VLOOKUP(B$87&amp;"_2",管理者用人口入力シート!A:X,D102,FALSE),0)</f>
        <v>274</v>
      </c>
      <c r="D102" s="2">
        <v>17</v>
      </c>
      <c r="G102" s="2" t="s">
        <v>9</v>
      </c>
      <c r="H102" s="17">
        <f>ROUND(VLOOKUP(H$91&amp;"_1",管理者用人口入力シート!BH:CE,J102,FALSE),0)</f>
        <v>161</v>
      </c>
      <c r="I102" s="17">
        <f>ROUND(VLOOKUP(H$91&amp;"_2",管理者用人口入力シート!BH:CE,J102,FALSE),0)</f>
        <v>161</v>
      </c>
      <c r="J102" s="2">
        <v>13</v>
      </c>
      <c r="K102" s="12"/>
      <c r="N102" s="2" t="s">
        <v>9</v>
      </c>
      <c r="O102" s="17">
        <f>ROUND(VLOOKUP(O$91&amp;"_1",管理者用人口入力シート!CO:DL,Q102,FALSE),0)</f>
        <v>161</v>
      </c>
      <c r="P102" s="17">
        <f>ROUND(VLOOKUP(O$91&amp;"_2",管理者用人口入力シート!CO:DL,Q102,FALSE),0)</f>
        <v>162</v>
      </c>
      <c r="Q102" s="2">
        <v>13</v>
      </c>
      <c r="T102" s="85"/>
    </row>
    <row r="103" spans="1:20" x14ac:dyDescent="0.15">
      <c r="A103" s="2" t="s">
        <v>14</v>
      </c>
      <c r="B103" s="17">
        <f>ROUND(VLOOKUP(B$87&amp;"_1",管理者用人口入力シート!A:X,D103,FALSE),0)</f>
        <v>235</v>
      </c>
      <c r="C103" s="17">
        <f>ROUND(VLOOKUP(B$87&amp;"_2",管理者用人口入力シート!A:X,D103,FALSE),0)</f>
        <v>241</v>
      </c>
      <c r="D103" s="2">
        <v>18</v>
      </c>
      <c r="G103" s="2" t="s">
        <v>10</v>
      </c>
      <c r="H103" s="17">
        <f>ROUND(VLOOKUP(H$91&amp;"_1",管理者用人口入力シート!BH:CE,J103,FALSE),0)</f>
        <v>147</v>
      </c>
      <c r="I103" s="17">
        <f>ROUND(VLOOKUP(H$91&amp;"_2",管理者用人口入力シート!BH:CE,J103,FALSE),0)</f>
        <v>165</v>
      </c>
      <c r="J103" s="2">
        <v>14</v>
      </c>
      <c r="K103" s="12"/>
      <c r="N103" s="2" t="s">
        <v>10</v>
      </c>
      <c r="O103" s="17">
        <f>ROUND(VLOOKUP(O$91&amp;"_1",管理者用人口入力シート!CO:DL,Q103,FALSE),0)</f>
        <v>147</v>
      </c>
      <c r="P103" s="17">
        <f>ROUND(VLOOKUP(O$91&amp;"_2",管理者用人口入力シート!CO:DL,Q103,FALSE),0)</f>
        <v>165</v>
      </c>
      <c r="Q103" s="2">
        <v>14</v>
      </c>
      <c r="T103" s="85"/>
    </row>
    <row r="104" spans="1:20" x14ac:dyDescent="0.15">
      <c r="A104" s="2" t="s">
        <v>15</v>
      </c>
      <c r="B104" s="17">
        <f>ROUND(VLOOKUP(B$87&amp;"_1",管理者用人口入力シート!A:X,D104,FALSE),0)</f>
        <v>124</v>
      </c>
      <c r="C104" s="17">
        <f>ROUND(VLOOKUP(B$87&amp;"_2",管理者用人口入力シート!A:X,D104,FALSE),0)</f>
        <v>175</v>
      </c>
      <c r="D104" s="2">
        <v>19</v>
      </c>
      <c r="G104" s="2" t="s">
        <v>11</v>
      </c>
      <c r="H104" s="17">
        <f>ROUND(VLOOKUP(H$91&amp;"_1",管理者用人口入力シート!BH:CE,J104,FALSE),0)</f>
        <v>144</v>
      </c>
      <c r="I104" s="17">
        <f>ROUND(VLOOKUP(H$91&amp;"_2",管理者用人口入力シート!BH:CE,J104,FALSE),0)</f>
        <v>144</v>
      </c>
      <c r="J104" s="2">
        <v>15</v>
      </c>
      <c r="K104" s="12"/>
      <c r="N104" s="2" t="s">
        <v>11</v>
      </c>
      <c r="O104" s="17">
        <f>ROUND(VLOOKUP(O$91&amp;"_1",管理者用人口入力シート!CO:DL,Q104,FALSE),0)</f>
        <v>144</v>
      </c>
      <c r="P104" s="17">
        <f>ROUND(VLOOKUP(O$91&amp;"_2",管理者用人口入力シート!CO:DL,Q104,FALSE),0)</f>
        <v>144</v>
      </c>
      <c r="Q104" s="2">
        <v>15</v>
      </c>
      <c r="T104" s="85"/>
    </row>
    <row r="105" spans="1:20" x14ac:dyDescent="0.15">
      <c r="A105" s="2" t="s">
        <v>16</v>
      </c>
      <c r="B105" s="17">
        <f>ROUND(VLOOKUP(B$87&amp;"_1",管理者用人口入力シート!A:X,D105,FALSE),0)</f>
        <v>108</v>
      </c>
      <c r="C105" s="17">
        <f>ROUND(VLOOKUP(B$87&amp;"_2",管理者用人口入力シート!A:X,D105,FALSE),0)</f>
        <v>183</v>
      </c>
      <c r="D105" s="2">
        <v>20</v>
      </c>
      <c r="G105" s="2" t="s">
        <v>12</v>
      </c>
      <c r="H105" s="17">
        <f>ROUND(VLOOKUP(H$91&amp;"_1",管理者用人口入力シート!BH:CE,J105,FALSE),0)</f>
        <v>138</v>
      </c>
      <c r="I105" s="17">
        <f>ROUND(VLOOKUP(H$91&amp;"_2",管理者用人口入力シート!BH:CE,J105,FALSE),0)</f>
        <v>149</v>
      </c>
      <c r="J105" s="2">
        <v>16</v>
      </c>
      <c r="K105" s="12"/>
      <c r="N105" s="2" t="s">
        <v>12</v>
      </c>
      <c r="O105" s="17">
        <f>ROUND(VLOOKUP(O$91&amp;"_1",管理者用人口入力シート!CO:DL,Q105,FALSE),0)</f>
        <v>138</v>
      </c>
      <c r="P105" s="17">
        <f>ROUND(VLOOKUP(O$91&amp;"_2",管理者用人口入力シート!CO:DL,Q105,FALSE),0)</f>
        <v>149</v>
      </c>
      <c r="Q105" s="2">
        <v>16</v>
      </c>
      <c r="T105" s="85"/>
    </row>
    <row r="106" spans="1:20" x14ac:dyDescent="0.15">
      <c r="A106" s="2" t="s">
        <v>17</v>
      </c>
      <c r="B106" s="17">
        <f>ROUND(VLOOKUP(B$87&amp;"_1",管理者用人口入力シート!A:X,D106,FALSE),0)</f>
        <v>91</v>
      </c>
      <c r="C106" s="17">
        <f>ROUND(VLOOKUP(B$87&amp;"_2",管理者用人口入力シート!A:X,D106,FALSE),0)</f>
        <v>192</v>
      </c>
      <c r="D106" s="2">
        <v>21</v>
      </c>
      <c r="G106" s="2" t="s">
        <v>13</v>
      </c>
      <c r="H106" s="17">
        <f>ROUND(VLOOKUP(H$91&amp;"_1",管理者用人口入力シート!BH:CE,J106,FALSE),0)</f>
        <v>149</v>
      </c>
      <c r="I106" s="17">
        <f>ROUND(VLOOKUP(H$91&amp;"_2",管理者用人口入力シート!BH:CE,J106,FALSE),0)</f>
        <v>167</v>
      </c>
      <c r="J106" s="2">
        <v>17</v>
      </c>
      <c r="K106" s="12"/>
      <c r="N106" s="2" t="s">
        <v>13</v>
      </c>
      <c r="O106" s="17">
        <f>ROUND(VLOOKUP(O$91&amp;"_1",管理者用人口入力シート!CO:DL,Q106,FALSE),0)</f>
        <v>149</v>
      </c>
      <c r="P106" s="17">
        <f>ROUND(VLOOKUP(O$91&amp;"_2",管理者用人口入力シート!CO:DL,Q106,FALSE),0)</f>
        <v>167</v>
      </c>
      <c r="Q106" s="2">
        <v>17</v>
      </c>
      <c r="T106" s="85"/>
    </row>
    <row r="107" spans="1:20" x14ac:dyDescent="0.15">
      <c r="A107" s="2" t="s">
        <v>18</v>
      </c>
      <c r="B107" s="17">
        <f>ROUND(VLOOKUP(B$87&amp;"_1",管理者用人口入力シート!A:X,D107,FALSE),0)</f>
        <v>35</v>
      </c>
      <c r="C107" s="17">
        <f>ROUND(VLOOKUP(B$87&amp;"_2",管理者用人口入力シート!A:X,D107,FALSE),0)</f>
        <v>117</v>
      </c>
      <c r="D107" s="2">
        <v>22</v>
      </c>
      <c r="G107" s="2" t="s">
        <v>14</v>
      </c>
      <c r="H107" s="17">
        <f>ROUND(VLOOKUP(H$91&amp;"_1",管理者用人口入力シート!BH:CE,J107,FALSE),0)</f>
        <v>200</v>
      </c>
      <c r="I107" s="17">
        <f>ROUND(VLOOKUP(H$91&amp;"_2",管理者用人口入力シート!BH:CE,J107,FALSE),0)</f>
        <v>233</v>
      </c>
      <c r="J107" s="2">
        <v>18</v>
      </c>
      <c r="K107" s="12"/>
      <c r="N107" s="2" t="s">
        <v>14</v>
      </c>
      <c r="O107" s="17">
        <f>ROUND(VLOOKUP(O$91&amp;"_1",管理者用人口入力シート!CO:DL,Q107,FALSE),0)</f>
        <v>200</v>
      </c>
      <c r="P107" s="17">
        <f>ROUND(VLOOKUP(O$91&amp;"_2",管理者用人口入力シート!CO:DL,Q107,FALSE),0)</f>
        <v>233</v>
      </c>
      <c r="Q107" s="2">
        <v>18</v>
      </c>
      <c r="T107" s="85"/>
    </row>
    <row r="108" spans="1:20" x14ac:dyDescent="0.15">
      <c r="A108" s="2" t="s">
        <v>19</v>
      </c>
      <c r="B108" s="17">
        <f>ROUND(VLOOKUP(B$87&amp;"_1",管理者用人口入力シート!A:X,D108,FALSE),0)</f>
        <v>4</v>
      </c>
      <c r="C108" s="17">
        <f>ROUND(VLOOKUP(B$87&amp;"_2",管理者用人口入力シート!A:X,D108,FALSE),0)</f>
        <v>55</v>
      </c>
      <c r="D108" s="2">
        <v>23</v>
      </c>
      <c r="G108" s="2" t="s">
        <v>15</v>
      </c>
      <c r="H108" s="17">
        <f>ROUND(VLOOKUP(H$91&amp;"_1",管理者用人口入力シート!BH:CE,J108,FALSE),0)</f>
        <v>201</v>
      </c>
      <c r="I108" s="17">
        <f>ROUND(VLOOKUP(H$91&amp;"_2",管理者用人口入力シート!BH:CE,J108,FALSE),0)</f>
        <v>255</v>
      </c>
      <c r="J108" s="2">
        <v>19</v>
      </c>
      <c r="K108" s="12"/>
      <c r="N108" s="2" t="s">
        <v>15</v>
      </c>
      <c r="O108" s="17">
        <f>ROUND(VLOOKUP(O$91&amp;"_1",管理者用人口入力シート!CO:DL,Q108,FALSE),0)</f>
        <v>201</v>
      </c>
      <c r="P108" s="17">
        <f>ROUND(VLOOKUP(O$91&amp;"_2",管理者用人口入力シート!CO:DL,Q108,FALSE),0)</f>
        <v>255</v>
      </c>
      <c r="Q108" s="2">
        <v>19</v>
      </c>
      <c r="T108" s="85"/>
    </row>
    <row r="109" spans="1:20" x14ac:dyDescent="0.15">
      <c r="A109" s="2" t="s">
        <v>20</v>
      </c>
      <c r="B109" s="17">
        <f>ROUND(VLOOKUP(B$87&amp;"_1",管理者用人口入力シート!A:X,D109,FALSE),0)</f>
        <v>1</v>
      </c>
      <c r="C109" s="17">
        <f>ROUND(VLOOKUP(B$87&amp;"_2",管理者用人口入力シート!A:X,D109,FALSE),0)</f>
        <v>10</v>
      </c>
      <c r="D109" s="2">
        <v>24</v>
      </c>
      <c r="G109" s="2" t="s">
        <v>16</v>
      </c>
      <c r="H109" s="17">
        <f>ROUND(VLOOKUP(H$91&amp;"_1",管理者用人口入力シート!BH:CE,J109,FALSE),0)</f>
        <v>170</v>
      </c>
      <c r="I109" s="17">
        <f>ROUND(VLOOKUP(H$91&amp;"_2",管理者用人口入力シート!BH:CE,J109,FALSE),0)</f>
        <v>231</v>
      </c>
      <c r="J109" s="2">
        <v>20</v>
      </c>
      <c r="K109" s="12"/>
      <c r="N109" s="2" t="s">
        <v>16</v>
      </c>
      <c r="O109" s="17">
        <f>ROUND(VLOOKUP(O$91&amp;"_1",管理者用人口入力シート!CO:DL,Q109,FALSE),0)</f>
        <v>170</v>
      </c>
      <c r="P109" s="17">
        <f>ROUND(VLOOKUP(O$91&amp;"_2",管理者用人口入力シート!CO:DL,Q109,FALSE),0)</f>
        <v>231</v>
      </c>
      <c r="Q109" s="2">
        <v>20</v>
      </c>
      <c r="T109" s="85"/>
    </row>
    <row r="110" spans="1:20" x14ac:dyDescent="0.15">
      <c r="G110" s="2" t="s">
        <v>17</v>
      </c>
      <c r="H110" s="17">
        <f>ROUND(VLOOKUP(H$91&amp;"_1",管理者用人口入力シート!BH:CE,J110,FALSE),0)</f>
        <v>77</v>
      </c>
      <c r="I110" s="17">
        <f>ROUND(VLOOKUP(H$91&amp;"_2",管理者用人口入力シート!BH:CE,J110,FALSE),0)</f>
        <v>173</v>
      </c>
      <c r="J110" s="2">
        <v>21</v>
      </c>
      <c r="K110" s="12"/>
      <c r="N110" s="2" t="s">
        <v>17</v>
      </c>
      <c r="O110" s="17">
        <f>ROUND(VLOOKUP(O$91&amp;"_1",管理者用人口入力シート!CO:DL,Q110,FALSE),0)</f>
        <v>77</v>
      </c>
      <c r="P110" s="17">
        <f>ROUND(VLOOKUP(O$91&amp;"_2",管理者用人口入力シート!CO:DL,Q110,FALSE),0)</f>
        <v>173</v>
      </c>
      <c r="Q110" s="2">
        <v>21</v>
      </c>
      <c r="T110" s="85"/>
    </row>
    <row r="111" spans="1:20" x14ac:dyDescent="0.15">
      <c r="G111" s="2" t="s">
        <v>18</v>
      </c>
      <c r="H111" s="17">
        <f>ROUND(VLOOKUP(H$91&amp;"_1",管理者用人口入力シート!BH:CE,J111,FALSE),0)</f>
        <v>38</v>
      </c>
      <c r="I111" s="17">
        <f>ROUND(VLOOKUP(H$91&amp;"_2",管理者用人口入力シート!BH:CE,J111,FALSE),0)</f>
        <v>127</v>
      </c>
      <c r="J111" s="2">
        <v>22</v>
      </c>
      <c r="K111" s="12"/>
      <c r="N111" s="2" t="s">
        <v>18</v>
      </c>
      <c r="O111" s="17">
        <f>ROUND(VLOOKUP(O$91&amp;"_1",管理者用人口入力シート!CO:DL,Q111,FALSE),0)</f>
        <v>38</v>
      </c>
      <c r="P111" s="17">
        <f>ROUND(VLOOKUP(O$91&amp;"_2",管理者用人口入力シート!CO:DL,Q111,FALSE),0)</f>
        <v>127</v>
      </c>
      <c r="Q111" s="2">
        <v>22</v>
      </c>
      <c r="T111" s="85"/>
    </row>
    <row r="112" spans="1:20" x14ac:dyDescent="0.15">
      <c r="G112" s="2" t="s">
        <v>19</v>
      </c>
      <c r="H112" s="17">
        <f>ROUND(VLOOKUP(H$91&amp;"_1",管理者用人口入力シート!BH:CE,J112,FALSE),0)</f>
        <v>12</v>
      </c>
      <c r="I112" s="17">
        <f>ROUND(VLOOKUP(H$91&amp;"_2",管理者用人口入力シート!BH:CE,J112,FALSE),0)</f>
        <v>64</v>
      </c>
      <c r="J112" s="2">
        <v>23</v>
      </c>
      <c r="K112" s="12"/>
      <c r="N112" s="2" t="s">
        <v>19</v>
      </c>
      <c r="O112" s="17">
        <f>ROUND(VLOOKUP(O$91&amp;"_1",管理者用人口入力シート!CO:DL,Q112,FALSE),0)</f>
        <v>12</v>
      </c>
      <c r="P112" s="17">
        <f>ROUND(VLOOKUP(O$91&amp;"_2",管理者用人口入力シート!CO:DL,Q112,FALSE),0)</f>
        <v>64</v>
      </c>
      <c r="Q112" s="2">
        <v>23</v>
      </c>
      <c r="T112" s="85"/>
    </row>
    <row r="113" spans="7:20" x14ac:dyDescent="0.15">
      <c r="G113" s="2" t="s">
        <v>20</v>
      </c>
      <c r="H113" s="17">
        <f>ROUND(VLOOKUP(H$91&amp;"_1",管理者用人口入力シート!BH:CE,J113,FALSE),0)</f>
        <v>2</v>
      </c>
      <c r="I113" s="17">
        <f>ROUND(VLOOKUP(H$91&amp;"_2",管理者用人口入力シート!BH:CE,J113,FALSE),0)</f>
        <v>11</v>
      </c>
      <c r="J113" s="2">
        <v>24</v>
      </c>
      <c r="K113" s="12"/>
      <c r="N113" s="2" t="s">
        <v>20</v>
      </c>
      <c r="O113" s="17">
        <f>ROUND(VLOOKUP(O$91&amp;"_1",管理者用人口入力シート!CO:DL,Q113,FALSE),0)</f>
        <v>2</v>
      </c>
      <c r="P113" s="17">
        <f>ROUND(VLOOKUP(O$91&amp;"_2",管理者用人口入力シート!CO:DL,Q113,FALSE),0)</f>
        <v>11</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58</v>
      </c>
      <c r="I117" s="17">
        <f>ROUND(VLOOKUP(H$115&amp;"_2",管理者用人口入力シート!BH:CE,J117,FALSE),0)</f>
        <v>54</v>
      </c>
      <c r="J117" s="2">
        <v>4</v>
      </c>
      <c r="N117" s="2" t="s">
        <v>0</v>
      </c>
      <c r="O117" s="17">
        <f>ROUND(VLOOKUP(O$115&amp;"_1",管理者用人口入力シート!CO:DL,Q117,FALSE),0)</f>
        <v>60</v>
      </c>
      <c r="P117" s="17">
        <f>ROUND(VLOOKUP(O$115&amp;"_2",管理者用人口入力シート!CO:DL,Q117,FALSE),0)</f>
        <v>56</v>
      </c>
      <c r="Q117" s="2">
        <v>4</v>
      </c>
      <c r="T117" s="85"/>
    </row>
    <row r="118" spans="7:20" x14ac:dyDescent="0.15">
      <c r="G118" s="2" t="s">
        <v>1</v>
      </c>
      <c r="H118" s="17">
        <f>ROUND(VLOOKUP(H$115&amp;"_1",管理者用人口入力シート!BH:CE,J118,FALSE),0)</f>
        <v>73</v>
      </c>
      <c r="I118" s="17">
        <f>ROUND(VLOOKUP(H$115&amp;"_2",管理者用人口入力シート!BH:CE,J118,FALSE),0)</f>
        <v>66</v>
      </c>
      <c r="J118" s="2">
        <v>5</v>
      </c>
      <c r="N118" s="2" t="s">
        <v>1</v>
      </c>
      <c r="O118" s="17">
        <f>ROUND(VLOOKUP(O$115&amp;"_1",管理者用人口入力シート!CO:DL,Q118,FALSE),0)</f>
        <v>75</v>
      </c>
      <c r="P118" s="17">
        <f>ROUND(VLOOKUP(O$115&amp;"_2",管理者用人口入力シート!CO:DL,Q118,FALSE),0)</f>
        <v>68</v>
      </c>
      <c r="Q118" s="2">
        <v>5</v>
      </c>
      <c r="T118" s="85"/>
    </row>
    <row r="119" spans="7:20" x14ac:dyDescent="0.15">
      <c r="G119" s="2" t="s">
        <v>2</v>
      </c>
      <c r="H119" s="17">
        <f>ROUND(VLOOKUP(H$115&amp;"_1",管理者用人口入力シート!BH:CE,J119,FALSE),0)</f>
        <v>89</v>
      </c>
      <c r="I119" s="17">
        <f>ROUND(VLOOKUP(H$115&amp;"_2",管理者用人口入力シート!BH:CE,J119,FALSE),0)</f>
        <v>84</v>
      </c>
      <c r="J119" s="2">
        <v>6</v>
      </c>
      <c r="N119" s="2" t="s">
        <v>2</v>
      </c>
      <c r="O119" s="17">
        <f>ROUND(VLOOKUP(O$115&amp;"_1",管理者用人口入力シート!CO:DL,Q119,FALSE),0)</f>
        <v>91</v>
      </c>
      <c r="P119" s="17">
        <f>ROUND(VLOOKUP(O$115&amp;"_2",管理者用人口入力シート!CO:DL,Q119,FALSE),0)</f>
        <v>86</v>
      </c>
      <c r="Q119" s="2">
        <v>6</v>
      </c>
      <c r="T119" s="85"/>
    </row>
    <row r="120" spans="7:20" x14ac:dyDescent="0.15">
      <c r="G120" s="2" t="s">
        <v>3</v>
      </c>
      <c r="H120" s="17">
        <f>ROUND(VLOOKUP(H$115&amp;"_1",管理者用人口入力シート!BH:CE,J120,FALSE),0)</f>
        <v>93</v>
      </c>
      <c r="I120" s="17">
        <f>ROUND(VLOOKUP(H$115&amp;"_2",管理者用人口入力シート!BH:CE,J120,FALSE),0)</f>
        <v>93</v>
      </c>
      <c r="J120" s="2">
        <v>7</v>
      </c>
      <c r="N120" s="2" t="s">
        <v>3</v>
      </c>
      <c r="O120" s="17">
        <f>ROUND(VLOOKUP(O$115&amp;"_1",管理者用人口入力シート!CO:DL,Q120,FALSE),0)</f>
        <v>94</v>
      </c>
      <c r="P120" s="17">
        <f>ROUND(VLOOKUP(O$115&amp;"_2",管理者用人口入力シート!CO:DL,Q120,FALSE),0)</f>
        <v>94</v>
      </c>
      <c r="Q120" s="2">
        <v>7</v>
      </c>
      <c r="T120" s="85"/>
    </row>
    <row r="121" spans="7:20" x14ac:dyDescent="0.15">
      <c r="G121" s="2" t="s">
        <v>4</v>
      </c>
      <c r="H121" s="17">
        <f>ROUND(VLOOKUP(H$115&amp;"_1",管理者用人口入力シート!BH:CE,J121,FALSE),0)</f>
        <v>73</v>
      </c>
      <c r="I121" s="17">
        <f>ROUND(VLOOKUP(H$115&amp;"_2",管理者用人口入力シート!BH:CE,J121,FALSE),0)</f>
        <v>79</v>
      </c>
      <c r="J121" s="2">
        <v>8</v>
      </c>
      <c r="N121" s="2" t="s">
        <v>4</v>
      </c>
      <c r="O121" s="17">
        <f>ROUND(VLOOKUP(O$115&amp;"_1",管理者用人口入力シート!CO:DL,Q121,FALSE),0)</f>
        <v>74</v>
      </c>
      <c r="P121" s="17">
        <f>ROUND(VLOOKUP(O$115&amp;"_2",管理者用人口入力シート!CO:DL,Q121,FALSE),0)</f>
        <v>80</v>
      </c>
      <c r="Q121" s="2">
        <v>8</v>
      </c>
      <c r="T121" s="85"/>
    </row>
    <row r="122" spans="7:20" x14ac:dyDescent="0.15">
      <c r="G122" s="2" t="s">
        <v>5</v>
      </c>
      <c r="H122" s="17">
        <f>ROUND(VLOOKUP(H$115&amp;"_1",管理者用人口入力シート!BH:CE,J122,FALSE),0)</f>
        <v>60</v>
      </c>
      <c r="I122" s="17">
        <f>ROUND(VLOOKUP(H$115&amp;"_2",管理者用人口入力シート!BH:CE,J122,FALSE),0)</f>
        <v>72</v>
      </c>
      <c r="J122" s="2">
        <v>9</v>
      </c>
      <c r="N122" s="2" t="s">
        <v>5</v>
      </c>
      <c r="O122" s="17">
        <f>ROUND(VLOOKUP(O$115&amp;"_1",管理者用人口入力シート!CO:DL,Q122,FALSE),0)</f>
        <v>62</v>
      </c>
      <c r="P122" s="17">
        <f>ROUND(VLOOKUP(O$115&amp;"_2",管理者用人口入力シート!CO:DL,Q122,FALSE),0)</f>
        <v>74</v>
      </c>
      <c r="Q122" s="2">
        <v>9</v>
      </c>
      <c r="T122" s="85"/>
    </row>
    <row r="123" spans="7:20" x14ac:dyDescent="0.15">
      <c r="G123" s="2" t="s">
        <v>6</v>
      </c>
      <c r="H123" s="17">
        <f>ROUND(VLOOKUP(H$115&amp;"_1",管理者用人口入力シート!BH:CE,J123,FALSE),0)</f>
        <v>78</v>
      </c>
      <c r="I123" s="17">
        <f>ROUND(VLOOKUP(H$115&amp;"_2",管理者用人口入力シート!BH:CE,J123,FALSE),0)</f>
        <v>60</v>
      </c>
      <c r="J123" s="2">
        <v>10</v>
      </c>
      <c r="N123" s="2" t="s">
        <v>6</v>
      </c>
      <c r="O123" s="17">
        <f>ROUND(VLOOKUP(O$115&amp;"_1",管理者用人口入力シート!CO:DL,Q123,FALSE),0)</f>
        <v>80</v>
      </c>
      <c r="P123" s="17">
        <f>ROUND(VLOOKUP(O$115&amp;"_2",管理者用人口入力シート!CO:DL,Q123,FALSE),0)</f>
        <v>62</v>
      </c>
      <c r="Q123" s="2">
        <v>10</v>
      </c>
      <c r="T123" s="85"/>
    </row>
    <row r="124" spans="7:20" x14ac:dyDescent="0.15">
      <c r="G124" s="2" t="s">
        <v>7</v>
      </c>
      <c r="H124" s="17">
        <f>ROUND(VLOOKUP(H$115&amp;"_1",管理者用人口入力シート!BH:CE,J124,FALSE),0)</f>
        <v>75</v>
      </c>
      <c r="I124" s="17">
        <f>ROUND(VLOOKUP(H$115&amp;"_2",管理者用人口入力シート!BH:CE,J124,FALSE),0)</f>
        <v>60</v>
      </c>
      <c r="J124" s="2">
        <v>11</v>
      </c>
      <c r="N124" s="2" t="s">
        <v>7</v>
      </c>
      <c r="O124" s="17">
        <f>ROUND(VLOOKUP(O$115&amp;"_1",管理者用人口入力シート!CO:DL,Q124,FALSE),0)</f>
        <v>78</v>
      </c>
      <c r="P124" s="17">
        <f>ROUND(VLOOKUP(O$115&amp;"_2",管理者用人口入力シート!CO:DL,Q124,FALSE),0)</f>
        <v>62</v>
      </c>
      <c r="Q124" s="2">
        <v>11</v>
      </c>
      <c r="T124" s="85"/>
    </row>
    <row r="125" spans="7:20" x14ac:dyDescent="0.15">
      <c r="G125" s="2" t="s">
        <v>8</v>
      </c>
      <c r="H125" s="17">
        <f>ROUND(VLOOKUP(H$115&amp;"_1",管理者用人口入力シート!BH:CE,J125,FALSE),0)</f>
        <v>99</v>
      </c>
      <c r="I125" s="17">
        <f>ROUND(VLOOKUP(H$115&amp;"_2",管理者用人口入力シート!BH:CE,J125,FALSE),0)</f>
        <v>89</v>
      </c>
      <c r="J125" s="2">
        <v>12</v>
      </c>
      <c r="N125" s="2" t="s">
        <v>8</v>
      </c>
      <c r="O125" s="17">
        <f>ROUND(VLOOKUP(O$115&amp;"_1",管理者用人口入力シート!CO:DL,Q125,FALSE),0)</f>
        <v>99</v>
      </c>
      <c r="P125" s="17">
        <f>ROUND(VLOOKUP(O$115&amp;"_2",管理者用人口入力シート!CO:DL,Q125,FALSE),0)</f>
        <v>90</v>
      </c>
      <c r="Q125" s="2">
        <v>12</v>
      </c>
      <c r="T125" s="85"/>
    </row>
    <row r="126" spans="7:20" x14ac:dyDescent="0.15">
      <c r="G126" s="2" t="s">
        <v>9</v>
      </c>
      <c r="H126" s="17">
        <f>ROUND(VLOOKUP(H$115&amp;"_1",管理者用人口入力シート!BH:CE,J126,FALSE),0)</f>
        <v>133</v>
      </c>
      <c r="I126" s="17">
        <f>ROUND(VLOOKUP(H$115&amp;"_2",管理者用人口入力シート!BH:CE,J126,FALSE),0)</f>
        <v>131</v>
      </c>
      <c r="J126" s="2">
        <v>13</v>
      </c>
      <c r="N126" s="2" t="s">
        <v>9</v>
      </c>
      <c r="O126" s="17">
        <f>ROUND(VLOOKUP(O$115&amp;"_1",管理者用人口入力シート!CO:DL,Q126,FALSE),0)</f>
        <v>133</v>
      </c>
      <c r="P126" s="17">
        <f>ROUND(VLOOKUP(O$115&amp;"_2",管理者用人口入力シート!CO:DL,Q126,FALSE),0)</f>
        <v>132</v>
      </c>
      <c r="Q126" s="2">
        <v>13</v>
      </c>
      <c r="T126" s="85"/>
    </row>
    <row r="127" spans="7:20" x14ac:dyDescent="0.15">
      <c r="G127" s="2" t="s">
        <v>10</v>
      </c>
      <c r="H127" s="17">
        <f>ROUND(VLOOKUP(H$115&amp;"_1",管理者用人口入力シート!BH:CE,J127,FALSE),0)</f>
        <v>163</v>
      </c>
      <c r="I127" s="17">
        <f>ROUND(VLOOKUP(H$115&amp;"_2",管理者用人口入力シート!BH:CE,J127,FALSE),0)</f>
        <v>154</v>
      </c>
      <c r="J127" s="2">
        <v>14</v>
      </c>
      <c r="N127" s="2" t="s">
        <v>10</v>
      </c>
      <c r="O127" s="17">
        <f>ROUND(VLOOKUP(O$115&amp;"_1",管理者用人口入力シート!CO:DL,Q127,FALSE),0)</f>
        <v>163</v>
      </c>
      <c r="P127" s="17">
        <f>ROUND(VLOOKUP(O$115&amp;"_2",管理者用人口入力シート!CO:DL,Q127,FALSE),0)</f>
        <v>155</v>
      </c>
      <c r="Q127" s="2">
        <v>14</v>
      </c>
      <c r="T127" s="85"/>
    </row>
    <row r="128" spans="7:20" x14ac:dyDescent="0.15">
      <c r="G128" s="2" t="s">
        <v>11</v>
      </c>
      <c r="H128" s="17">
        <f>ROUND(VLOOKUP(H$115&amp;"_1",管理者用人口入力シート!BH:CE,J128,FALSE),0)</f>
        <v>141</v>
      </c>
      <c r="I128" s="17">
        <f>ROUND(VLOOKUP(H$115&amp;"_2",管理者用人口入力シート!BH:CE,J128,FALSE),0)</f>
        <v>165</v>
      </c>
      <c r="J128" s="2">
        <v>15</v>
      </c>
      <c r="N128" s="2" t="s">
        <v>11</v>
      </c>
      <c r="O128" s="17">
        <f>ROUND(VLOOKUP(O$115&amp;"_1",管理者用人口入力シート!CO:DL,Q128,FALSE),0)</f>
        <v>141</v>
      </c>
      <c r="P128" s="17">
        <f>ROUND(VLOOKUP(O$115&amp;"_2",管理者用人口入力シート!CO:DL,Q128,FALSE),0)</f>
        <v>165</v>
      </c>
      <c r="Q128" s="2">
        <v>15</v>
      </c>
      <c r="T128" s="85"/>
    </row>
    <row r="129" spans="7:20" x14ac:dyDescent="0.15">
      <c r="G129" s="2" t="s">
        <v>12</v>
      </c>
      <c r="H129" s="17">
        <f>ROUND(VLOOKUP(H$115&amp;"_1",管理者用人口入力シート!BH:CE,J129,FALSE),0)</f>
        <v>144</v>
      </c>
      <c r="I129" s="17">
        <f>ROUND(VLOOKUP(H$115&amp;"_2",管理者用人口入力シート!BH:CE,J129,FALSE),0)</f>
        <v>141</v>
      </c>
      <c r="J129" s="2">
        <v>16</v>
      </c>
      <c r="N129" s="2" t="s">
        <v>12</v>
      </c>
      <c r="O129" s="17">
        <f>ROUND(VLOOKUP(O$115&amp;"_1",管理者用人口入力シート!CO:DL,Q129,FALSE),0)</f>
        <v>144</v>
      </c>
      <c r="P129" s="17">
        <f>ROUND(VLOOKUP(O$115&amp;"_2",管理者用人口入力シート!CO:DL,Q129,FALSE),0)</f>
        <v>141</v>
      </c>
      <c r="Q129" s="2">
        <v>16</v>
      </c>
      <c r="T129" s="85"/>
    </row>
    <row r="130" spans="7:20" x14ac:dyDescent="0.15">
      <c r="G130" s="2" t="s">
        <v>13</v>
      </c>
      <c r="H130" s="17">
        <f>ROUND(VLOOKUP(H$115&amp;"_1",管理者用人口入力シート!BH:CE,J130,FALSE),0)</f>
        <v>129</v>
      </c>
      <c r="I130" s="17">
        <f>ROUND(VLOOKUP(H$115&amp;"_2",管理者用人口入力シート!BH:CE,J130,FALSE),0)</f>
        <v>148</v>
      </c>
      <c r="J130" s="2">
        <v>17</v>
      </c>
      <c r="N130" s="2" t="s">
        <v>13</v>
      </c>
      <c r="O130" s="17">
        <f>ROUND(VLOOKUP(O$115&amp;"_1",管理者用人口入力シート!CO:DL,Q130,FALSE),0)</f>
        <v>129</v>
      </c>
      <c r="P130" s="17">
        <f>ROUND(VLOOKUP(O$115&amp;"_2",管理者用人口入力シート!CO:DL,Q130,FALSE),0)</f>
        <v>148</v>
      </c>
      <c r="Q130" s="2">
        <v>17</v>
      </c>
      <c r="T130" s="85"/>
    </row>
    <row r="131" spans="7:20" x14ac:dyDescent="0.15">
      <c r="G131" s="2" t="s">
        <v>14</v>
      </c>
      <c r="H131" s="17">
        <f>ROUND(VLOOKUP(H$115&amp;"_1",管理者用人口入力シート!BH:CE,J131,FALSE),0)</f>
        <v>140</v>
      </c>
      <c r="I131" s="17">
        <f>ROUND(VLOOKUP(H$115&amp;"_2",管理者用人口入力シート!BH:CE,J131,FALSE),0)</f>
        <v>162</v>
      </c>
      <c r="J131" s="2">
        <v>18</v>
      </c>
      <c r="N131" s="2" t="s">
        <v>14</v>
      </c>
      <c r="O131" s="17">
        <f>ROUND(VLOOKUP(O$115&amp;"_1",管理者用人口入力シート!CO:DL,Q131,FALSE),0)</f>
        <v>140</v>
      </c>
      <c r="P131" s="17">
        <f>ROUND(VLOOKUP(O$115&amp;"_2",管理者用人口入力シート!CO:DL,Q131,FALSE),0)</f>
        <v>162</v>
      </c>
      <c r="Q131" s="2">
        <v>18</v>
      </c>
      <c r="T131" s="85"/>
    </row>
    <row r="132" spans="7:20" x14ac:dyDescent="0.15">
      <c r="G132" s="2" t="s">
        <v>15</v>
      </c>
      <c r="H132" s="17">
        <f>ROUND(VLOOKUP(H$115&amp;"_1",管理者用人口入力シート!BH:CE,J132,FALSE),0)</f>
        <v>173</v>
      </c>
      <c r="I132" s="17">
        <f>ROUND(VLOOKUP(H$115&amp;"_2",管理者用人口入力シート!BH:CE,J132,FALSE),0)</f>
        <v>224</v>
      </c>
      <c r="J132" s="2">
        <v>19</v>
      </c>
      <c r="N132" s="2" t="s">
        <v>15</v>
      </c>
      <c r="O132" s="17">
        <f>ROUND(VLOOKUP(O$115&amp;"_1",管理者用人口入力シート!CO:DL,Q132,FALSE),0)</f>
        <v>173</v>
      </c>
      <c r="P132" s="17">
        <f>ROUND(VLOOKUP(O$115&amp;"_2",管理者用人口入力シート!CO:DL,Q132,FALSE),0)</f>
        <v>224</v>
      </c>
      <c r="Q132" s="2">
        <v>19</v>
      </c>
      <c r="T132" s="85"/>
    </row>
    <row r="133" spans="7:20" x14ac:dyDescent="0.15">
      <c r="G133" s="2" t="s">
        <v>16</v>
      </c>
      <c r="H133" s="17">
        <f>ROUND(VLOOKUP(H$115&amp;"_1",管理者用人口入力シート!BH:CE,J133,FALSE),0)</f>
        <v>168</v>
      </c>
      <c r="I133" s="17">
        <f>ROUND(VLOOKUP(H$115&amp;"_2",管理者用人口入力シート!BH:CE,J133,FALSE),0)</f>
        <v>254</v>
      </c>
      <c r="J133" s="2">
        <v>20</v>
      </c>
      <c r="N133" s="2" t="s">
        <v>16</v>
      </c>
      <c r="O133" s="17">
        <f>ROUND(VLOOKUP(O$115&amp;"_1",管理者用人口入力シート!CO:DL,Q133,FALSE),0)</f>
        <v>168</v>
      </c>
      <c r="P133" s="17">
        <f>ROUND(VLOOKUP(O$115&amp;"_2",管理者用人口入力シート!CO:DL,Q133,FALSE),0)</f>
        <v>254</v>
      </c>
      <c r="Q133" s="2">
        <v>20</v>
      </c>
      <c r="T133" s="85"/>
    </row>
    <row r="134" spans="7:20" x14ac:dyDescent="0.15">
      <c r="G134" s="2" t="s">
        <v>17</v>
      </c>
      <c r="H134" s="17">
        <f>ROUND(VLOOKUP(H$115&amp;"_1",管理者用人口入力シート!BH:CE,J134,FALSE),0)</f>
        <v>126</v>
      </c>
      <c r="I134" s="17">
        <f>ROUND(VLOOKUP(H$115&amp;"_2",管理者用人口入力シート!BH:CE,J134,FALSE),0)</f>
        <v>229</v>
      </c>
      <c r="J134" s="2">
        <v>21</v>
      </c>
      <c r="N134" s="2" t="s">
        <v>17</v>
      </c>
      <c r="O134" s="17">
        <f>ROUND(VLOOKUP(O$115&amp;"_1",管理者用人口入力シート!CO:DL,Q134,FALSE),0)</f>
        <v>126</v>
      </c>
      <c r="P134" s="17">
        <f>ROUND(VLOOKUP(O$115&amp;"_2",管理者用人口入力シート!CO:DL,Q134,FALSE),0)</f>
        <v>229</v>
      </c>
      <c r="Q134" s="2">
        <v>21</v>
      </c>
      <c r="T134" s="85"/>
    </row>
    <row r="135" spans="7:20" x14ac:dyDescent="0.15">
      <c r="G135" s="2" t="s">
        <v>18</v>
      </c>
      <c r="H135" s="17">
        <f>ROUND(VLOOKUP(H$115&amp;"_1",管理者用人口入力シート!BH:CE,J135,FALSE),0)</f>
        <v>36</v>
      </c>
      <c r="I135" s="17">
        <f>ROUND(VLOOKUP(H$115&amp;"_2",管理者用人口入力シート!BH:CE,J135,FALSE),0)</f>
        <v>121</v>
      </c>
      <c r="J135" s="2">
        <v>22</v>
      </c>
      <c r="N135" s="2" t="s">
        <v>18</v>
      </c>
      <c r="O135" s="17">
        <f>ROUND(VLOOKUP(O$115&amp;"_1",管理者用人口入力シート!CO:DL,Q135,FALSE),0)</f>
        <v>36</v>
      </c>
      <c r="P135" s="17">
        <f>ROUND(VLOOKUP(O$115&amp;"_2",管理者用人口入力シート!CO:DL,Q135,FALSE),0)</f>
        <v>121</v>
      </c>
      <c r="Q135" s="2">
        <v>22</v>
      </c>
      <c r="T135" s="85"/>
    </row>
    <row r="136" spans="7:20" x14ac:dyDescent="0.15">
      <c r="G136" s="2" t="s">
        <v>19</v>
      </c>
      <c r="H136" s="17">
        <f>ROUND(VLOOKUP(H$115&amp;"_1",管理者用人口入力シート!BH:CE,J136,FALSE),0)</f>
        <v>10</v>
      </c>
      <c r="I136" s="17">
        <f>ROUND(VLOOKUP(H$115&amp;"_2",管理者用人口入力シート!BH:CE,J136,FALSE),0)</f>
        <v>60</v>
      </c>
      <c r="J136" s="2">
        <v>23</v>
      </c>
      <c r="N136" s="2" t="s">
        <v>19</v>
      </c>
      <c r="O136" s="17">
        <f>ROUND(VLOOKUP(O$115&amp;"_1",管理者用人口入力シート!CO:DL,Q136,FALSE),0)</f>
        <v>10</v>
      </c>
      <c r="P136" s="17">
        <f>ROUND(VLOOKUP(O$115&amp;"_2",管理者用人口入力シート!CO:DL,Q136,FALSE),0)</f>
        <v>60</v>
      </c>
      <c r="Q136" s="2">
        <v>23</v>
      </c>
      <c r="T136" s="85"/>
    </row>
    <row r="137" spans="7:20" x14ac:dyDescent="0.15">
      <c r="G137" s="2" t="s">
        <v>20</v>
      </c>
      <c r="H137" s="17">
        <f>ROUND(VLOOKUP(H$115&amp;"_1",管理者用人口入力シート!BH:CE,J137,FALSE),0)</f>
        <v>2</v>
      </c>
      <c r="I137" s="17">
        <f>ROUND(VLOOKUP(H$115&amp;"_2",管理者用人口入力シート!BH:CE,J137,FALSE),0)</f>
        <v>13</v>
      </c>
      <c r="J137" s="2">
        <v>24</v>
      </c>
      <c r="N137" s="2" t="s">
        <v>20</v>
      </c>
      <c r="O137" s="17">
        <f>ROUND(VLOOKUP(O$115&amp;"_1",管理者用人口入力シート!CO:DL,Q137,FALSE),0)</f>
        <v>2</v>
      </c>
      <c r="P137" s="17">
        <f>ROUND(VLOOKUP(O$115&amp;"_2",管理者用人口入力シート!CO:DL,Q137,FALSE),0)</f>
        <v>13</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56</v>
      </c>
      <c r="I141" s="17">
        <f>ROUND(VLOOKUP(H$139&amp;"_2",管理者用人口入力シート!BH:CE,J141,FALSE),0)</f>
        <v>53</v>
      </c>
      <c r="J141" s="2">
        <v>4</v>
      </c>
      <c r="N141" s="2" t="s">
        <v>0</v>
      </c>
      <c r="O141" s="17">
        <f>ROUND(VLOOKUP(O$139&amp;"_1",管理者用人口入力シート!CO:DL,Q141,FALSE),0)</f>
        <v>59</v>
      </c>
      <c r="P141" s="17">
        <f>ROUND(VLOOKUP(O$139&amp;"_2",管理者用人口入力シート!CO:DL,Q141,FALSE),0)</f>
        <v>55</v>
      </c>
      <c r="Q141" s="2">
        <v>4</v>
      </c>
    </row>
    <row r="142" spans="7:20" x14ac:dyDescent="0.15">
      <c r="G142" s="2" t="s">
        <v>1</v>
      </c>
      <c r="H142" s="17">
        <f>ROUND(VLOOKUP(H$139&amp;"_1",管理者用人口入力シート!BH:CE,J142,FALSE),0)</f>
        <v>68</v>
      </c>
      <c r="I142" s="17">
        <f>ROUND(VLOOKUP(H$139&amp;"_2",管理者用人口入力シート!BH:CE,J142,FALSE),0)</f>
        <v>61</v>
      </c>
      <c r="J142" s="2">
        <v>5</v>
      </c>
      <c r="N142" s="2" t="s">
        <v>1</v>
      </c>
      <c r="O142" s="17">
        <f>ROUND(VLOOKUP(O$139&amp;"_1",管理者用人口入力シート!CO:DL,Q142,FALSE),0)</f>
        <v>71</v>
      </c>
      <c r="P142" s="17">
        <f>ROUND(VLOOKUP(O$139&amp;"_2",管理者用人口入力シート!CO:DL,Q142,FALSE),0)</f>
        <v>64</v>
      </c>
      <c r="Q142" s="2">
        <v>5</v>
      </c>
    </row>
    <row r="143" spans="7:20" x14ac:dyDescent="0.15">
      <c r="G143" s="2" t="s">
        <v>2</v>
      </c>
      <c r="H143" s="17">
        <f>ROUND(VLOOKUP(H$139&amp;"_1",管理者用人口入力シート!BH:CE,J143,FALSE),0)</f>
        <v>75</v>
      </c>
      <c r="I143" s="17">
        <f>ROUND(VLOOKUP(H$139&amp;"_2",管理者用人口入力シート!BH:CE,J143,FALSE),0)</f>
        <v>71</v>
      </c>
      <c r="J143" s="2">
        <v>6</v>
      </c>
      <c r="N143" s="2" t="s">
        <v>2</v>
      </c>
      <c r="O143" s="17">
        <f>ROUND(VLOOKUP(O$139&amp;"_1",管理者用人口入力シート!CO:DL,Q143,FALSE),0)</f>
        <v>78</v>
      </c>
      <c r="P143" s="17">
        <f>ROUND(VLOOKUP(O$139&amp;"_2",管理者用人口入力シート!CO:DL,Q143,FALSE),0)</f>
        <v>74</v>
      </c>
      <c r="Q143" s="2">
        <v>6</v>
      </c>
    </row>
    <row r="144" spans="7:20" x14ac:dyDescent="0.15">
      <c r="G144" s="2" t="s">
        <v>3</v>
      </c>
      <c r="H144" s="17">
        <f>ROUND(VLOOKUP(H$139&amp;"_1",管理者用人口入力シート!BH:CE,J144,FALSE),0)</f>
        <v>74</v>
      </c>
      <c r="I144" s="17">
        <f>ROUND(VLOOKUP(H$139&amp;"_2",管理者用人口入力シート!BH:CE,J144,FALSE),0)</f>
        <v>74</v>
      </c>
      <c r="J144" s="2">
        <v>7</v>
      </c>
      <c r="N144" s="2" t="s">
        <v>3</v>
      </c>
      <c r="O144" s="17">
        <f>ROUND(VLOOKUP(O$139&amp;"_1",管理者用人口入力シート!CO:DL,Q144,FALSE),0)</f>
        <v>76</v>
      </c>
      <c r="P144" s="17">
        <f>ROUND(VLOOKUP(O$139&amp;"_2",管理者用人口入力シート!CO:DL,Q144,FALSE),0)</f>
        <v>76</v>
      </c>
      <c r="Q144" s="2">
        <v>7</v>
      </c>
    </row>
    <row r="145" spans="7:17" x14ac:dyDescent="0.15">
      <c r="G145" s="2" t="s">
        <v>4</v>
      </c>
      <c r="H145" s="17">
        <f>ROUND(VLOOKUP(H$139&amp;"_1",管理者用人口入力シート!BH:CE,J145,FALSE),0)</f>
        <v>62</v>
      </c>
      <c r="I145" s="17">
        <f>ROUND(VLOOKUP(H$139&amp;"_2",管理者用人口入力シート!BH:CE,J145,FALSE),0)</f>
        <v>66</v>
      </c>
      <c r="J145" s="2">
        <v>8</v>
      </c>
      <c r="N145" s="2" t="s">
        <v>4</v>
      </c>
      <c r="O145" s="17">
        <f>ROUND(VLOOKUP(O$139&amp;"_1",管理者用人口入力シート!CO:DL,Q145,FALSE),0)</f>
        <v>63</v>
      </c>
      <c r="P145" s="17">
        <f>ROUND(VLOOKUP(O$139&amp;"_2",管理者用人口入力シート!CO:DL,Q145,FALSE),0)</f>
        <v>67</v>
      </c>
      <c r="Q145" s="2">
        <v>8</v>
      </c>
    </row>
    <row r="146" spans="7:17" x14ac:dyDescent="0.15">
      <c r="G146" s="2" t="s">
        <v>5</v>
      </c>
      <c r="H146" s="17">
        <f>ROUND(VLOOKUP(H$139&amp;"_1",管理者用人口入力シート!BH:CE,J146,FALSE),0)</f>
        <v>67</v>
      </c>
      <c r="I146" s="17">
        <f>ROUND(VLOOKUP(H$139&amp;"_2",管理者用人口入力シート!BH:CE,J146,FALSE),0)</f>
        <v>69</v>
      </c>
      <c r="J146" s="2">
        <v>9</v>
      </c>
      <c r="N146" s="2" t="s">
        <v>5</v>
      </c>
      <c r="O146" s="17">
        <f>ROUND(VLOOKUP(O$139&amp;"_1",管理者用人口入力シート!CO:DL,Q146,FALSE),0)</f>
        <v>70</v>
      </c>
      <c r="P146" s="17">
        <f>ROUND(VLOOKUP(O$139&amp;"_2",管理者用人口入力シート!CO:DL,Q146,FALSE),0)</f>
        <v>72</v>
      </c>
      <c r="Q146" s="2">
        <v>9</v>
      </c>
    </row>
    <row r="147" spans="7:17" x14ac:dyDescent="0.15">
      <c r="G147" s="2" t="s">
        <v>6</v>
      </c>
      <c r="H147" s="17">
        <f>ROUND(VLOOKUP(H$139&amp;"_1",管理者用人口入力シート!BH:CE,J147,FALSE),0)</f>
        <v>62</v>
      </c>
      <c r="I147" s="17">
        <f>ROUND(VLOOKUP(H$139&amp;"_2",管理者用人口入力シート!BH:CE,J147,FALSE),0)</f>
        <v>67</v>
      </c>
      <c r="J147" s="2">
        <v>10</v>
      </c>
      <c r="N147" s="2" t="s">
        <v>6</v>
      </c>
      <c r="O147" s="17">
        <f>ROUND(VLOOKUP(O$139&amp;"_1",管理者用人口入力シート!CO:DL,Q147,FALSE),0)</f>
        <v>64</v>
      </c>
      <c r="P147" s="17">
        <f>ROUND(VLOOKUP(O$139&amp;"_2",管理者用人口入力シート!CO:DL,Q147,FALSE),0)</f>
        <v>68</v>
      </c>
      <c r="Q147" s="2">
        <v>10</v>
      </c>
    </row>
    <row r="148" spans="7:17" x14ac:dyDescent="0.15">
      <c r="G148" s="2" t="s">
        <v>7</v>
      </c>
      <c r="H148" s="17">
        <f>ROUND(VLOOKUP(H$139&amp;"_1",管理者用人口入力シート!BH:CE,J148,FALSE),0)</f>
        <v>81</v>
      </c>
      <c r="I148" s="17">
        <f>ROUND(VLOOKUP(H$139&amp;"_2",管理者用人口入力シート!BH:CE,J148,FALSE),0)</f>
        <v>64</v>
      </c>
      <c r="J148" s="2">
        <v>11</v>
      </c>
      <c r="N148" s="2" t="s">
        <v>7</v>
      </c>
      <c r="O148" s="17">
        <f>ROUND(VLOOKUP(O$139&amp;"_1",管理者用人口入力シート!CO:DL,Q148,FALSE),0)</f>
        <v>83</v>
      </c>
      <c r="P148" s="17">
        <f>ROUND(VLOOKUP(O$139&amp;"_2",管理者用人口入力シート!CO:DL,Q148,FALSE),0)</f>
        <v>66</v>
      </c>
      <c r="Q148" s="2">
        <v>11</v>
      </c>
    </row>
    <row r="149" spans="7:17" x14ac:dyDescent="0.15">
      <c r="G149" s="2" t="s">
        <v>8</v>
      </c>
      <c r="H149" s="17">
        <f>ROUND(VLOOKUP(H$139&amp;"_1",管理者用人口入力シート!BH:CE,J149,FALSE),0)</f>
        <v>76</v>
      </c>
      <c r="I149" s="17">
        <f>ROUND(VLOOKUP(H$139&amp;"_2",管理者用人口入力シート!BH:CE,J149,FALSE),0)</f>
        <v>60</v>
      </c>
      <c r="J149" s="2">
        <v>12</v>
      </c>
      <c r="N149" s="2" t="s">
        <v>8</v>
      </c>
      <c r="O149" s="17">
        <f>ROUND(VLOOKUP(O$139&amp;"_1",管理者用人口入力シート!CO:DL,Q149,FALSE),0)</f>
        <v>78</v>
      </c>
      <c r="P149" s="17">
        <f>ROUND(VLOOKUP(O$139&amp;"_2",管理者用人口入力シート!CO:DL,Q149,FALSE),0)</f>
        <v>63</v>
      </c>
      <c r="Q149" s="2">
        <v>12</v>
      </c>
    </row>
    <row r="150" spans="7:17" x14ac:dyDescent="0.15">
      <c r="G150" s="2" t="s">
        <v>9</v>
      </c>
      <c r="H150" s="17">
        <f>ROUND(VLOOKUP(H$139&amp;"_1",管理者用人口入力シート!BH:CE,J150,FALSE),0)</f>
        <v>102</v>
      </c>
      <c r="I150" s="17">
        <f>ROUND(VLOOKUP(H$139&amp;"_2",管理者用人口入力シート!BH:CE,J150,FALSE),0)</f>
        <v>92</v>
      </c>
      <c r="J150" s="2">
        <v>13</v>
      </c>
      <c r="N150" s="2" t="s">
        <v>9</v>
      </c>
      <c r="O150" s="17">
        <f>ROUND(VLOOKUP(O$139&amp;"_1",管理者用人口入力シート!CO:DL,Q150,FALSE),0)</f>
        <v>102</v>
      </c>
      <c r="P150" s="17">
        <f>ROUND(VLOOKUP(O$139&amp;"_2",管理者用人口入力シート!CO:DL,Q150,FALSE),0)</f>
        <v>93</v>
      </c>
      <c r="Q150" s="2">
        <v>13</v>
      </c>
    </row>
    <row r="151" spans="7:17" x14ac:dyDescent="0.15">
      <c r="G151" s="2" t="s">
        <v>10</v>
      </c>
      <c r="H151" s="17">
        <f>ROUND(VLOOKUP(H$139&amp;"_1",管理者用人口入力シート!BH:CE,J151,FALSE),0)</f>
        <v>135</v>
      </c>
      <c r="I151" s="17">
        <f>ROUND(VLOOKUP(H$139&amp;"_2",管理者用人口入力シート!BH:CE,J151,FALSE),0)</f>
        <v>125</v>
      </c>
      <c r="J151" s="2">
        <v>14</v>
      </c>
      <c r="N151" s="2" t="s">
        <v>10</v>
      </c>
      <c r="O151" s="17">
        <f>ROUND(VLOOKUP(O$139&amp;"_1",管理者用人口入力シート!CO:DL,Q151,FALSE),0)</f>
        <v>135</v>
      </c>
      <c r="P151" s="17">
        <f>ROUND(VLOOKUP(O$139&amp;"_2",管理者用人口入力シート!CO:DL,Q151,FALSE),0)</f>
        <v>126</v>
      </c>
      <c r="Q151" s="2">
        <v>14</v>
      </c>
    </row>
    <row r="152" spans="7:17" x14ac:dyDescent="0.15">
      <c r="G152" s="2" t="s">
        <v>11</v>
      </c>
      <c r="H152" s="17">
        <f>ROUND(VLOOKUP(H$139&amp;"_1",管理者用人口入力シート!BH:CE,J152,FALSE),0)</f>
        <v>157</v>
      </c>
      <c r="I152" s="17">
        <f>ROUND(VLOOKUP(H$139&amp;"_2",管理者用人口入力シート!BH:CE,J152,FALSE),0)</f>
        <v>154</v>
      </c>
      <c r="J152" s="2">
        <v>15</v>
      </c>
      <c r="N152" s="2" t="s">
        <v>11</v>
      </c>
      <c r="O152" s="17">
        <f>ROUND(VLOOKUP(O$139&amp;"_1",管理者用人口入力シート!CO:DL,Q152,FALSE),0)</f>
        <v>157</v>
      </c>
      <c r="P152" s="17">
        <f>ROUND(VLOOKUP(O$139&amp;"_2",管理者用人口入力シート!CO:DL,Q152,FALSE),0)</f>
        <v>155</v>
      </c>
      <c r="Q152" s="2">
        <v>15</v>
      </c>
    </row>
    <row r="153" spans="7:17" x14ac:dyDescent="0.15">
      <c r="G153" s="2" t="s">
        <v>12</v>
      </c>
      <c r="H153" s="17">
        <f>ROUND(VLOOKUP(H$139&amp;"_1",管理者用人口入力シート!BH:CE,J153,FALSE),0)</f>
        <v>142</v>
      </c>
      <c r="I153" s="17">
        <f>ROUND(VLOOKUP(H$139&amp;"_2",管理者用人口入力シート!BH:CE,J153,FALSE),0)</f>
        <v>162</v>
      </c>
      <c r="J153" s="2">
        <v>16</v>
      </c>
      <c r="N153" s="2" t="s">
        <v>12</v>
      </c>
      <c r="O153" s="17">
        <f>ROUND(VLOOKUP(O$139&amp;"_1",管理者用人口入力シート!CO:DL,Q153,FALSE),0)</f>
        <v>142</v>
      </c>
      <c r="P153" s="17">
        <f>ROUND(VLOOKUP(O$139&amp;"_2",管理者用人口入力シート!CO:DL,Q153,FALSE),0)</f>
        <v>162</v>
      </c>
      <c r="Q153" s="2">
        <v>16</v>
      </c>
    </row>
    <row r="154" spans="7:17" x14ac:dyDescent="0.15">
      <c r="G154" s="2" t="s">
        <v>13</v>
      </c>
      <c r="H154" s="17">
        <f>ROUND(VLOOKUP(H$139&amp;"_1",管理者用人口入力シート!BH:CE,J154,FALSE),0)</f>
        <v>135</v>
      </c>
      <c r="I154" s="17">
        <f>ROUND(VLOOKUP(H$139&amp;"_2",管理者用人口入力シート!BH:CE,J154,FALSE),0)</f>
        <v>140</v>
      </c>
      <c r="J154" s="2">
        <v>17</v>
      </c>
      <c r="N154" s="2" t="s">
        <v>13</v>
      </c>
      <c r="O154" s="17">
        <f>ROUND(VLOOKUP(O$139&amp;"_1",管理者用人口入力シート!CO:DL,Q154,FALSE),0)</f>
        <v>135</v>
      </c>
      <c r="P154" s="17">
        <f>ROUND(VLOOKUP(O$139&amp;"_2",管理者用人口入力シート!CO:DL,Q154,FALSE),0)</f>
        <v>140</v>
      </c>
      <c r="Q154" s="2">
        <v>17</v>
      </c>
    </row>
    <row r="155" spans="7:17" x14ac:dyDescent="0.15">
      <c r="G155" s="2" t="s">
        <v>14</v>
      </c>
      <c r="H155" s="17">
        <f>ROUND(VLOOKUP(H$139&amp;"_1",管理者用人口入力シート!BH:CE,J155,FALSE),0)</f>
        <v>122</v>
      </c>
      <c r="I155" s="17">
        <f>ROUND(VLOOKUP(H$139&amp;"_2",管理者用人口入力シート!BH:CE,J155,FALSE),0)</f>
        <v>143</v>
      </c>
      <c r="J155" s="2">
        <v>18</v>
      </c>
      <c r="N155" s="2" t="s">
        <v>14</v>
      </c>
      <c r="O155" s="17">
        <f>ROUND(VLOOKUP(O$139&amp;"_1",管理者用人口入力シート!CO:DL,Q155,FALSE),0)</f>
        <v>122</v>
      </c>
      <c r="P155" s="17">
        <f>ROUND(VLOOKUP(O$139&amp;"_2",管理者用人口入力シート!CO:DL,Q155,FALSE),0)</f>
        <v>143</v>
      </c>
      <c r="Q155" s="2">
        <v>18</v>
      </c>
    </row>
    <row r="156" spans="7:17" x14ac:dyDescent="0.15">
      <c r="G156" s="2" t="s">
        <v>15</v>
      </c>
      <c r="H156" s="17">
        <f>ROUND(VLOOKUP(H$139&amp;"_1",管理者用人口入力シート!BH:CE,J156,FALSE),0)</f>
        <v>121</v>
      </c>
      <c r="I156" s="17">
        <f>ROUND(VLOOKUP(H$139&amp;"_2",管理者用人口入力シート!BH:CE,J156,FALSE),0)</f>
        <v>156</v>
      </c>
      <c r="J156" s="2">
        <v>19</v>
      </c>
      <c r="N156" s="2" t="s">
        <v>15</v>
      </c>
      <c r="O156" s="17">
        <f>ROUND(VLOOKUP(O$139&amp;"_1",管理者用人口入力シート!CO:DL,Q156,FALSE),0)</f>
        <v>121</v>
      </c>
      <c r="P156" s="17">
        <f>ROUND(VLOOKUP(O$139&amp;"_2",管理者用人口入力シート!CO:DL,Q156,FALSE),0)</f>
        <v>156</v>
      </c>
      <c r="Q156" s="2">
        <v>19</v>
      </c>
    </row>
    <row r="157" spans="7:17" x14ac:dyDescent="0.15">
      <c r="G157" s="2" t="s">
        <v>16</v>
      </c>
      <c r="H157" s="17">
        <f>ROUND(VLOOKUP(H$139&amp;"_1",管理者用人口入力シート!BH:CE,J157,FALSE),0)</f>
        <v>144</v>
      </c>
      <c r="I157" s="17">
        <f>ROUND(VLOOKUP(H$139&amp;"_2",管理者用人口入力シート!BH:CE,J157,FALSE),0)</f>
        <v>223</v>
      </c>
      <c r="J157" s="2">
        <v>20</v>
      </c>
      <c r="N157" s="2" t="s">
        <v>16</v>
      </c>
      <c r="O157" s="17">
        <f>ROUND(VLOOKUP(O$139&amp;"_1",管理者用人口入力シート!CO:DL,Q157,FALSE),0)</f>
        <v>144</v>
      </c>
      <c r="P157" s="17">
        <f>ROUND(VLOOKUP(O$139&amp;"_2",管理者用人口入力シート!CO:DL,Q157,FALSE),0)</f>
        <v>223</v>
      </c>
      <c r="Q157" s="2">
        <v>20</v>
      </c>
    </row>
    <row r="158" spans="7:17" x14ac:dyDescent="0.15">
      <c r="G158" s="2" t="s">
        <v>17</v>
      </c>
      <c r="H158" s="17">
        <f>ROUND(VLOOKUP(H$139&amp;"_1",管理者用人口入力シート!BH:CE,J158,FALSE),0)</f>
        <v>124</v>
      </c>
      <c r="I158" s="17">
        <f>ROUND(VLOOKUP(H$139&amp;"_2",管理者用人口入力シート!BH:CE,J158,FALSE),0)</f>
        <v>252</v>
      </c>
      <c r="J158" s="2">
        <v>21</v>
      </c>
      <c r="N158" s="2" t="s">
        <v>17</v>
      </c>
      <c r="O158" s="17">
        <f>ROUND(VLOOKUP(O$139&amp;"_1",管理者用人口入力シート!CO:DL,Q158,FALSE),0)</f>
        <v>124</v>
      </c>
      <c r="P158" s="17">
        <f>ROUND(VLOOKUP(O$139&amp;"_2",管理者用人口入力シート!CO:DL,Q158,FALSE),0)</f>
        <v>252</v>
      </c>
      <c r="Q158" s="2">
        <v>21</v>
      </c>
    </row>
    <row r="159" spans="7:17" x14ac:dyDescent="0.15">
      <c r="G159" s="2" t="s">
        <v>18</v>
      </c>
      <c r="H159" s="17">
        <f>ROUND(VLOOKUP(H$139&amp;"_1",管理者用人口入力シート!BH:CE,J159,FALSE),0)</f>
        <v>59</v>
      </c>
      <c r="I159" s="17">
        <f>ROUND(VLOOKUP(H$139&amp;"_2",管理者用人口入力シート!BH:CE,J159,FALSE),0)</f>
        <v>160</v>
      </c>
      <c r="J159" s="2">
        <v>22</v>
      </c>
      <c r="N159" s="2" t="s">
        <v>18</v>
      </c>
      <c r="O159" s="17">
        <f>ROUND(VLOOKUP(O$139&amp;"_1",管理者用人口入力シート!CO:DL,Q159,FALSE),0)</f>
        <v>59</v>
      </c>
      <c r="P159" s="17">
        <f>ROUND(VLOOKUP(O$139&amp;"_2",管理者用人口入力シート!CO:DL,Q159,FALSE),0)</f>
        <v>160</v>
      </c>
      <c r="Q159" s="2">
        <v>22</v>
      </c>
    </row>
    <row r="160" spans="7:17" x14ac:dyDescent="0.15">
      <c r="G160" s="2" t="s">
        <v>19</v>
      </c>
      <c r="H160" s="17">
        <f>ROUND(VLOOKUP(H$139&amp;"_1",管理者用人口入力シート!BH:CE,J160,FALSE),0)</f>
        <v>10</v>
      </c>
      <c r="I160" s="17">
        <f>ROUND(VLOOKUP(H$139&amp;"_2",管理者用人口入力シート!BH:CE,J160,FALSE),0)</f>
        <v>57</v>
      </c>
      <c r="J160" s="2">
        <v>23</v>
      </c>
      <c r="N160" s="2" t="s">
        <v>19</v>
      </c>
      <c r="O160" s="17">
        <f>ROUND(VLOOKUP(O$139&amp;"_1",管理者用人口入力シート!CO:DL,Q160,FALSE),0)</f>
        <v>10</v>
      </c>
      <c r="P160" s="17">
        <f>ROUND(VLOOKUP(O$139&amp;"_2",管理者用人口入力シート!CO:DL,Q160,FALSE),0)</f>
        <v>57</v>
      </c>
      <c r="Q160" s="2">
        <v>23</v>
      </c>
    </row>
    <row r="161" spans="7:17" x14ac:dyDescent="0.15">
      <c r="G161" s="2" t="s">
        <v>20</v>
      </c>
      <c r="H161" s="17">
        <f>ROUND(VLOOKUP(H$139&amp;"_1",管理者用人口入力シート!BH:CE,J161,FALSE),0)</f>
        <v>2</v>
      </c>
      <c r="I161" s="17">
        <f>ROUND(VLOOKUP(H$139&amp;"_2",管理者用人口入力シート!BH:CE,J161,FALSE),0)</f>
        <v>12</v>
      </c>
      <c r="J161" s="2">
        <v>24</v>
      </c>
      <c r="N161" s="2" t="s">
        <v>20</v>
      </c>
      <c r="O161" s="17">
        <f>ROUND(VLOOKUP(O$139&amp;"_1",管理者用人口入力シート!CO:DL,Q161,FALSE),0)</f>
        <v>2</v>
      </c>
      <c r="P161" s="17">
        <f>ROUND(VLOOKUP(O$139&amp;"_2",管理者用人口入力シート!CO:DL,Q161,FALSE),0)</f>
        <v>12</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52</v>
      </c>
      <c r="I165" s="17">
        <f>ROUND(VLOOKUP(H$163&amp;"_2",管理者用人口入力シート!BH:CE,J165,FALSE),0)</f>
        <v>49</v>
      </c>
      <c r="J165" s="2">
        <v>4</v>
      </c>
      <c r="N165" s="2" t="s">
        <v>0</v>
      </c>
      <c r="O165" s="17">
        <f>ROUND(VLOOKUP(O$163&amp;"_1",管理者用人口入力シート!CO:DL,Q165,FALSE),0)</f>
        <v>55</v>
      </c>
      <c r="P165" s="17">
        <f>ROUND(VLOOKUP(O$163&amp;"_2",管理者用人口入力シート!CO:DL,Q165,FALSE),0)</f>
        <v>51</v>
      </c>
      <c r="Q165" s="2">
        <v>4</v>
      </c>
    </row>
    <row r="166" spans="7:17" x14ac:dyDescent="0.15">
      <c r="G166" s="2" t="s">
        <v>1</v>
      </c>
      <c r="H166" s="17">
        <f>ROUND(VLOOKUP(H$163&amp;"_1",管理者用人口入力シート!BH:CE,J166,FALSE),0)</f>
        <v>67</v>
      </c>
      <c r="I166" s="17">
        <f>ROUND(VLOOKUP(H$163&amp;"_2",管理者用人口入力シート!BH:CE,J166,FALSE),0)</f>
        <v>60</v>
      </c>
      <c r="J166" s="2">
        <v>5</v>
      </c>
      <c r="N166" s="2" t="s">
        <v>1</v>
      </c>
      <c r="O166" s="17">
        <f>ROUND(VLOOKUP(O$163&amp;"_1",管理者用人口入力シート!CO:DL,Q166,FALSE),0)</f>
        <v>70</v>
      </c>
      <c r="P166" s="17">
        <f>ROUND(VLOOKUP(O$163&amp;"_2",管理者用人口入力シート!CO:DL,Q166,FALSE),0)</f>
        <v>63</v>
      </c>
      <c r="Q166" s="2">
        <v>5</v>
      </c>
    </row>
    <row r="167" spans="7:17" x14ac:dyDescent="0.15">
      <c r="G167" s="2" t="s">
        <v>2</v>
      </c>
      <c r="H167" s="17">
        <f>ROUND(VLOOKUP(H$163&amp;"_1",管理者用人口入力シート!BH:CE,J167,FALSE),0)</f>
        <v>70</v>
      </c>
      <c r="I167" s="17">
        <f>ROUND(VLOOKUP(H$163&amp;"_2",管理者用人口入力シート!BH:CE,J167,FALSE),0)</f>
        <v>66</v>
      </c>
      <c r="J167" s="2">
        <v>6</v>
      </c>
      <c r="N167" s="2" t="s">
        <v>2</v>
      </c>
      <c r="O167" s="17">
        <f>ROUND(VLOOKUP(O$163&amp;"_1",管理者用人口入力シート!CO:DL,Q167,FALSE),0)</f>
        <v>74</v>
      </c>
      <c r="P167" s="17">
        <f>ROUND(VLOOKUP(O$163&amp;"_2",管理者用人口入力シート!CO:DL,Q167,FALSE),0)</f>
        <v>70</v>
      </c>
      <c r="Q167" s="2">
        <v>6</v>
      </c>
    </row>
    <row r="168" spans="7:17" x14ac:dyDescent="0.15">
      <c r="G168" s="2" t="s">
        <v>3</v>
      </c>
      <c r="H168" s="17">
        <f>ROUND(VLOOKUP(H$163&amp;"_1",管理者用人口入力シート!BH:CE,J168,FALSE),0)</f>
        <v>63</v>
      </c>
      <c r="I168" s="17">
        <f>ROUND(VLOOKUP(H$163&amp;"_2",管理者用人口入力シート!BH:CE,J168,FALSE),0)</f>
        <v>63</v>
      </c>
      <c r="J168" s="2">
        <v>7</v>
      </c>
      <c r="N168" s="2" t="s">
        <v>3</v>
      </c>
      <c r="O168" s="17">
        <f>ROUND(VLOOKUP(O$163&amp;"_1",管理者用人口入力シート!CO:DL,Q168,FALSE),0)</f>
        <v>66</v>
      </c>
      <c r="P168" s="17">
        <f>ROUND(VLOOKUP(O$163&amp;"_2",管理者用人口入力シート!CO:DL,Q168,FALSE),0)</f>
        <v>66</v>
      </c>
      <c r="Q168" s="2">
        <v>7</v>
      </c>
    </row>
    <row r="169" spans="7:17" x14ac:dyDescent="0.15">
      <c r="G169" s="2" t="s">
        <v>4</v>
      </c>
      <c r="H169" s="17">
        <f>ROUND(VLOOKUP(H$163&amp;"_1",管理者用人口入力シート!BH:CE,J169,FALSE),0)</f>
        <v>49</v>
      </c>
      <c r="I169" s="17">
        <f>ROUND(VLOOKUP(H$163&amp;"_2",管理者用人口入力シート!BH:CE,J169,FALSE),0)</f>
        <v>53</v>
      </c>
      <c r="J169" s="2">
        <v>8</v>
      </c>
      <c r="N169" s="2" t="s">
        <v>4</v>
      </c>
      <c r="O169" s="17">
        <f>ROUND(VLOOKUP(O$163&amp;"_1",管理者用人口入力シート!CO:DL,Q169,FALSE),0)</f>
        <v>51</v>
      </c>
      <c r="P169" s="17">
        <f>ROUND(VLOOKUP(O$163&amp;"_2",管理者用人口入力シート!CO:DL,Q169,FALSE),0)</f>
        <v>54</v>
      </c>
      <c r="Q169" s="2">
        <v>8</v>
      </c>
    </row>
    <row r="170" spans="7:17" x14ac:dyDescent="0.15">
      <c r="G170" s="2" t="s">
        <v>5</v>
      </c>
      <c r="H170" s="17">
        <f>ROUND(VLOOKUP(H$163&amp;"_1",管理者用人口入力シート!BH:CE,J170,FALSE),0)</f>
        <v>57</v>
      </c>
      <c r="I170" s="17">
        <f>ROUND(VLOOKUP(H$163&amp;"_2",管理者用人口入力シート!BH:CE,J170,FALSE),0)</f>
        <v>58</v>
      </c>
      <c r="J170" s="2">
        <v>9</v>
      </c>
      <c r="N170" s="2" t="s">
        <v>5</v>
      </c>
      <c r="O170" s="17">
        <f>ROUND(VLOOKUP(O$163&amp;"_1",管理者用人口入力シート!CO:DL,Q170,FALSE),0)</f>
        <v>60</v>
      </c>
      <c r="P170" s="17">
        <f>ROUND(VLOOKUP(O$163&amp;"_2",管理者用人口入力シート!CO:DL,Q170,FALSE),0)</f>
        <v>60</v>
      </c>
      <c r="Q170" s="2">
        <v>9</v>
      </c>
    </row>
    <row r="171" spans="7:17" x14ac:dyDescent="0.15">
      <c r="G171" s="2" t="s">
        <v>6</v>
      </c>
      <c r="H171" s="17">
        <f>ROUND(VLOOKUP(H$163&amp;"_1",管理者用人口入力シート!BH:CE,J171,FALSE),0)</f>
        <v>69</v>
      </c>
      <c r="I171" s="17">
        <f>ROUND(VLOOKUP(H$163&amp;"_2",管理者用人口入力シート!BH:CE,J171,FALSE),0)</f>
        <v>64</v>
      </c>
      <c r="J171" s="2">
        <v>10</v>
      </c>
      <c r="N171" s="2" t="s">
        <v>6</v>
      </c>
      <c r="O171" s="17">
        <f>ROUND(VLOOKUP(O$163&amp;"_1",管理者用人口入力シート!CO:DL,Q171,FALSE),0)</f>
        <v>72</v>
      </c>
      <c r="P171" s="17">
        <f>ROUND(VLOOKUP(O$163&amp;"_2",管理者用人口入力シート!CO:DL,Q171,FALSE),0)</f>
        <v>66</v>
      </c>
      <c r="Q171" s="2">
        <v>10</v>
      </c>
    </row>
    <row r="172" spans="7:17" x14ac:dyDescent="0.15">
      <c r="G172" s="2" t="s">
        <v>7</v>
      </c>
      <c r="H172" s="17">
        <f>ROUND(VLOOKUP(H$163&amp;"_1",管理者用人口入力シート!BH:CE,J172,FALSE),0)</f>
        <v>64</v>
      </c>
      <c r="I172" s="17">
        <f>ROUND(VLOOKUP(H$163&amp;"_2",管理者用人口入力シート!BH:CE,J172,FALSE),0)</f>
        <v>71</v>
      </c>
      <c r="J172" s="2">
        <v>11</v>
      </c>
      <c r="N172" s="2" t="s">
        <v>7</v>
      </c>
      <c r="O172" s="17">
        <f>ROUND(VLOOKUP(O$163&amp;"_1",管理者用人口入力シート!CO:DL,Q172,FALSE),0)</f>
        <v>66</v>
      </c>
      <c r="P172" s="17">
        <f>ROUND(VLOOKUP(O$163&amp;"_2",管理者用人口入力シート!CO:DL,Q172,FALSE),0)</f>
        <v>73</v>
      </c>
      <c r="Q172" s="2">
        <v>11</v>
      </c>
    </row>
    <row r="173" spans="7:17" x14ac:dyDescent="0.15">
      <c r="G173" s="2" t="s">
        <v>8</v>
      </c>
      <c r="H173" s="17">
        <f>ROUND(VLOOKUP(H$163&amp;"_1",管理者用人口入力シート!BH:CE,J173,FALSE),0)</f>
        <v>82</v>
      </c>
      <c r="I173" s="17">
        <f>ROUND(VLOOKUP(H$163&amp;"_2",管理者用人口入力シート!BH:CE,J173,FALSE),0)</f>
        <v>65</v>
      </c>
      <c r="J173" s="2">
        <v>12</v>
      </c>
      <c r="N173" s="2" t="s">
        <v>8</v>
      </c>
      <c r="O173" s="17">
        <f>ROUND(VLOOKUP(O$163&amp;"_1",管理者用人口入力シート!CO:DL,Q173,FALSE),0)</f>
        <v>84</v>
      </c>
      <c r="P173" s="17">
        <f>ROUND(VLOOKUP(O$163&amp;"_2",管理者用人口入力シート!CO:DL,Q173,FALSE),0)</f>
        <v>68</v>
      </c>
      <c r="Q173" s="2">
        <v>12</v>
      </c>
    </row>
    <row r="174" spans="7:17" x14ac:dyDescent="0.15">
      <c r="G174" s="2" t="s">
        <v>9</v>
      </c>
      <c r="H174" s="17">
        <f>ROUND(VLOOKUP(H$163&amp;"_1",管理者用人口入力シート!BH:CE,J174,FALSE),0)</f>
        <v>78</v>
      </c>
      <c r="I174" s="17">
        <f>ROUND(VLOOKUP(H$163&amp;"_2",管理者用人口入力シート!BH:CE,J174,FALSE),0)</f>
        <v>62</v>
      </c>
      <c r="J174" s="2">
        <v>13</v>
      </c>
      <c r="N174" s="2" t="s">
        <v>9</v>
      </c>
      <c r="O174" s="17">
        <f>ROUND(VLOOKUP(O$163&amp;"_1",管理者用人口入力シート!CO:DL,Q174,FALSE),0)</f>
        <v>80</v>
      </c>
      <c r="P174" s="17">
        <f>ROUND(VLOOKUP(O$163&amp;"_2",管理者用人口入力シート!CO:DL,Q174,FALSE),0)</f>
        <v>65</v>
      </c>
      <c r="Q174" s="2">
        <v>13</v>
      </c>
    </row>
    <row r="175" spans="7:17" x14ac:dyDescent="0.15">
      <c r="G175" s="2" t="s">
        <v>10</v>
      </c>
      <c r="H175" s="17">
        <f>ROUND(VLOOKUP(H$163&amp;"_1",管理者用人口入力シート!BH:CE,J175,FALSE),0)</f>
        <v>104</v>
      </c>
      <c r="I175" s="17">
        <f>ROUND(VLOOKUP(H$163&amp;"_2",管理者用人口入力シート!BH:CE,J175,FALSE),0)</f>
        <v>88</v>
      </c>
      <c r="J175" s="2">
        <v>14</v>
      </c>
      <c r="N175" s="2" t="s">
        <v>10</v>
      </c>
      <c r="O175" s="17">
        <f>ROUND(VLOOKUP(O$163&amp;"_1",管理者用人口入力シート!CO:DL,Q175,FALSE),0)</f>
        <v>104</v>
      </c>
      <c r="P175" s="17">
        <f>ROUND(VLOOKUP(O$163&amp;"_2",管理者用人口入力シート!CO:DL,Q175,FALSE),0)</f>
        <v>89</v>
      </c>
      <c r="Q175" s="2">
        <v>14</v>
      </c>
    </row>
    <row r="176" spans="7:17" x14ac:dyDescent="0.15">
      <c r="G176" s="2" t="s">
        <v>11</v>
      </c>
      <c r="H176" s="17">
        <f>ROUND(VLOOKUP(H$163&amp;"_1",管理者用人口入力シート!BH:CE,J176,FALSE),0)</f>
        <v>130</v>
      </c>
      <c r="I176" s="17">
        <f>ROUND(VLOOKUP(H$163&amp;"_2",管理者用人口入力シート!BH:CE,J176,FALSE),0)</f>
        <v>125</v>
      </c>
      <c r="J176" s="2">
        <v>15</v>
      </c>
      <c r="N176" s="2" t="s">
        <v>11</v>
      </c>
      <c r="O176" s="17">
        <f>ROUND(VLOOKUP(O$163&amp;"_1",管理者用人口入力シート!CO:DL,Q176,FALSE),0)</f>
        <v>130</v>
      </c>
      <c r="P176" s="17">
        <f>ROUND(VLOOKUP(O$163&amp;"_2",管理者用人口入力シート!CO:DL,Q176,FALSE),0)</f>
        <v>126</v>
      </c>
      <c r="Q176" s="2">
        <v>15</v>
      </c>
    </row>
    <row r="177" spans="7:17" x14ac:dyDescent="0.15">
      <c r="G177" s="2" t="s">
        <v>12</v>
      </c>
      <c r="H177" s="17">
        <f>ROUND(VLOOKUP(H$163&amp;"_1",管理者用人口入力シート!BH:CE,J177,FALSE),0)</f>
        <v>158</v>
      </c>
      <c r="I177" s="17">
        <f>ROUND(VLOOKUP(H$163&amp;"_2",管理者用人口入力シート!BH:CE,J177,FALSE),0)</f>
        <v>151</v>
      </c>
      <c r="J177" s="2">
        <v>16</v>
      </c>
      <c r="N177" s="2" t="s">
        <v>12</v>
      </c>
      <c r="O177" s="17">
        <f>ROUND(VLOOKUP(O$163&amp;"_1",管理者用人口入力シート!CO:DL,Q177,FALSE),0)</f>
        <v>158</v>
      </c>
      <c r="P177" s="17">
        <f>ROUND(VLOOKUP(O$163&amp;"_2",管理者用人口入力シート!CO:DL,Q177,FALSE),0)</f>
        <v>152</v>
      </c>
      <c r="Q177" s="2">
        <v>16</v>
      </c>
    </row>
    <row r="178" spans="7:17" x14ac:dyDescent="0.15">
      <c r="G178" s="2" t="s">
        <v>13</v>
      </c>
      <c r="H178" s="17">
        <f>ROUND(VLOOKUP(H$163&amp;"_1",管理者用人口入力シート!BH:CE,J178,FALSE),0)</f>
        <v>132</v>
      </c>
      <c r="I178" s="17">
        <f>ROUND(VLOOKUP(H$163&amp;"_2",管理者用人口入力シート!BH:CE,J178,FALSE),0)</f>
        <v>161</v>
      </c>
      <c r="J178" s="2">
        <v>17</v>
      </c>
      <c r="N178" s="2" t="s">
        <v>13</v>
      </c>
      <c r="O178" s="17">
        <f>ROUND(VLOOKUP(O$163&amp;"_1",管理者用人口入力シート!CO:DL,Q178,FALSE),0)</f>
        <v>132</v>
      </c>
      <c r="P178" s="17">
        <f>ROUND(VLOOKUP(O$163&amp;"_2",管理者用人口入力シート!CO:DL,Q178,FALSE),0)</f>
        <v>161</v>
      </c>
      <c r="Q178" s="2">
        <v>17</v>
      </c>
    </row>
    <row r="179" spans="7:17" x14ac:dyDescent="0.15">
      <c r="G179" s="2" t="s">
        <v>14</v>
      </c>
      <c r="H179" s="17">
        <f>ROUND(VLOOKUP(H$163&amp;"_1",管理者用人口入力シート!BH:CE,J179,FALSE),0)</f>
        <v>127</v>
      </c>
      <c r="I179" s="17">
        <f>ROUND(VLOOKUP(H$163&amp;"_2",管理者用人口入力シート!BH:CE,J179,FALSE),0)</f>
        <v>135</v>
      </c>
      <c r="J179" s="2">
        <v>18</v>
      </c>
      <c r="N179" s="2" t="s">
        <v>14</v>
      </c>
      <c r="O179" s="17">
        <f>ROUND(VLOOKUP(O$163&amp;"_1",管理者用人口入力シート!CO:DL,Q179,FALSE),0)</f>
        <v>127</v>
      </c>
      <c r="P179" s="17">
        <f>ROUND(VLOOKUP(O$163&amp;"_2",管理者用人口入力シート!CO:DL,Q179,FALSE),0)</f>
        <v>135</v>
      </c>
      <c r="Q179" s="2">
        <v>18</v>
      </c>
    </row>
    <row r="180" spans="7:17" x14ac:dyDescent="0.15">
      <c r="G180" s="2" t="s">
        <v>15</v>
      </c>
      <c r="H180" s="17">
        <f>ROUND(VLOOKUP(H$163&amp;"_1",管理者用人口入力シート!BH:CE,J180,FALSE),0)</f>
        <v>105</v>
      </c>
      <c r="I180" s="17">
        <f>ROUND(VLOOKUP(H$163&amp;"_2",管理者用人口入力シート!BH:CE,J180,FALSE),0)</f>
        <v>138</v>
      </c>
      <c r="J180" s="2">
        <v>19</v>
      </c>
      <c r="N180" s="2" t="s">
        <v>15</v>
      </c>
      <c r="O180" s="17">
        <f>ROUND(VLOOKUP(O$163&amp;"_1",管理者用人口入力シート!CO:DL,Q180,FALSE),0)</f>
        <v>105</v>
      </c>
      <c r="P180" s="17">
        <f>ROUND(VLOOKUP(O$163&amp;"_2",管理者用人口入力シート!CO:DL,Q180,FALSE),0)</f>
        <v>138</v>
      </c>
      <c r="Q180" s="2">
        <v>19</v>
      </c>
    </row>
    <row r="181" spans="7:17" x14ac:dyDescent="0.15">
      <c r="G181" s="2" t="s">
        <v>16</v>
      </c>
      <c r="H181" s="17">
        <f>ROUND(VLOOKUP(H$163&amp;"_1",管理者用人口入力シート!BH:CE,J181,FALSE),0)</f>
        <v>101</v>
      </c>
      <c r="I181" s="17">
        <f>ROUND(VLOOKUP(H$163&amp;"_2",管理者用人口入力シート!BH:CE,J181,FALSE),0)</f>
        <v>155</v>
      </c>
      <c r="J181" s="2">
        <v>20</v>
      </c>
      <c r="N181" s="2" t="s">
        <v>16</v>
      </c>
      <c r="O181" s="17">
        <f>ROUND(VLOOKUP(O$163&amp;"_1",管理者用人口入力シート!CO:DL,Q181,FALSE),0)</f>
        <v>101</v>
      </c>
      <c r="P181" s="17">
        <f>ROUND(VLOOKUP(O$163&amp;"_2",管理者用人口入力シート!CO:DL,Q181,FALSE),0)</f>
        <v>155</v>
      </c>
      <c r="Q181" s="2">
        <v>20</v>
      </c>
    </row>
    <row r="182" spans="7:17" x14ac:dyDescent="0.15">
      <c r="G182" s="2" t="s">
        <v>17</v>
      </c>
      <c r="H182" s="17">
        <f>ROUND(VLOOKUP(H$163&amp;"_1",管理者用人口入力シート!BH:CE,J182,FALSE),0)</f>
        <v>107</v>
      </c>
      <c r="I182" s="17">
        <f>ROUND(VLOOKUP(H$163&amp;"_2",管理者用人口入力シート!BH:CE,J182,FALSE),0)</f>
        <v>221</v>
      </c>
      <c r="J182" s="2">
        <v>21</v>
      </c>
      <c r="N182" s="2" t="s">
        <v>17</v>
      </c>
      <c r="O182" s="17">
        <f>ROUND(VLOOKUP(O$163&amp;"_1",管理者用人口入力シート!CO:DL,Q182,FALSE),0)</f>
        <v>107</v>
      </c>
      <c r="P182" s="17">
        <f>ROUND(VLOOKUP(O$163&amp;"_2",管理者用人口入力シート!CO:DL,Q182,FALSE),0)</f>
        <v>221</v>
      </c>
      <c r="Q182" s="2">
        <v>21</v>
      </c>
    </row>
    <row r="183" spans="7:17" x14ac:dyDescent="0.15">
      <c r="G183" s="2" t="s">
        <v>18</v>
      </c>
      <c r="H183" s="17">
        <f>ROUND(VLOOKUP(H$163&amp;"_1",管理者用人口入力シート!BH:CE,J183,FALSE),0)</f>
        <v>58</v>
      </c>
      <c r="I183" s="17">
        <f>ROUND(VLOOKUP(H$163&amp;"_2",管理者用人口入力シート!BH:CE,J183,FALSE),0)</f>
        <v>176</v>
      </c>
      <c r="J183" s="2">
        <v>22</v>
      </c>
      <c r="N183" s="2" t="s">
        <v>18</v>
      </c>
      <c r="O183" s="17">
        <f>ROUND(VLOOKUP(O$163&amp;"_1",管理者用人口入力シート!CO:DL,Q183,FALSE),0)</f>
        <v>58</v>
      </c>
      <c r="P183" s="17">
        <f>ROUND(VLOOKUP(O$163&amp;"_2",管理者用人口入力シート!CO:DL,Q183,FALSE),0)</f>
        <v>176</v>
      </c>
      <c r="Q183" s="2">
        <v>22</v>
      </c>
    </row>
    <row r="184" spans="7:17" x14ac:dyDescent="0.15">
      <c r="G184" s="2" t="s">
        <v>19</v>
      </c>
      <c r="H184" s="17">
        <f>ROUND(VLOOKUP(H$163&amp;"_1",管理者用人口入力シート!BH:CE,J184,FALSE),0)</f>
        <v>16</v>
      </c>
      <c r="I184" s="17">
        <f>ROUND(VLOOKUP(H$163&amp;"_2",管理者用人口入力シート!BH:CE,J184,FALSE),0)</f>
        <v>76</v>
      </c>
      <c r="J184" s="2">
        <v>23</v>
      </c>
      <c r="N184" s="2" t="s">
        <v>19</v>
      </c>
      <c r="O184" s="17">
        <f>ROUND(VLOOKUP(O$163&amp;"_1",管理者用人口入力シート!CO:DL,Q184,FALSE),0)</f>
        <v>16</v>
      </c>
      <c r="P184" s="17">
        <f>ROUND(VLOOKUP(O$163&amp;"_2",管理者用人口入力シート!CO:DL,Q184,FALSE),0)</f>
        <v>76</v>
      </c>
      <c r="Q184" s="2">
        <v>23</v>
      </c>
    </row>
    <row r="185" spans="7:17" x14ac:dyDescent="0.15">
      <c r="G185" s="2" t="s">
        <v>20</v>
      </c>
      <c r="H185" s="17">
        <f>ROUND(VLOOKUP(H$163&amp;"_1",管理者用人口入力シート!BH:CE,J185,FALSE),0)</f>
        <v>2</v>
      </c>
      <c r="I185" s="17">
        <f>ROUND(VLOOKUP(H$163&amp;"_2",管理者用人口入力シート!BH:CE,J185,FALSE),0)</f>
        <v>12</v>
      </c>
      <c r="J185" s="2">
        <v>24</v>
      </c>
      <c r="N185" s="2" t="s">
        <v>20</v>
      </c>
      <c r="O185" s="17">
        <f>ROUND(VLOOKUP(O$163&amp;"_1",管理者用人口入力シート!CO:DL,Q185,FALSE),0)</f>
        <v>2</v>
      </c>
      <c r="P185" s="17">
        <f>ROUND(VLOOKUP(O$163&amp;"_2",管理者用人口入力シート!CO:DL,Q185,FALSE),0)</f>
        <v>12</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45</v>
      </c>
      <c r="I189" s="17">
        <f>ROUND(VLOOKUP(H$187&amp;"_2",管理者用人口入力シート!BH:CE,J189,FALSE),0)</f>
        <v>42</v>
      </c>
      <c r="J189" s="2">
        <v>4</v>
      </c>
      <c r="N189" s="2" t="s">
        <v>0</v>
      </c>
      <c r="O189" s="17">
        <f>ROUND(VLOOKUP(O$187&amp;"_1",管理者用人口入力シート!CO:DL,Q189,FALSE),0)</f>
        <v>48</v>
      </c>
      <c r="P189" s="17">
        <f>ROUND(VLOOKUP(O$187&amp;"_2",管理者用人口入力シート!CO:DL,Q189,FALSE),0)</f>
        <v>45</v>
      </c>
      <c r="Q189" s="2">
        <v>4</v>
      </c>
    </row>
    <row r="190" spans="7:17" x14ac:dyDescent="0.15">
      <c r="G190" s="2" t="s">
        <v>1</v>
      </c>
      <c r="H190" s="17">
        <f>ROUND(VLOOKUP(H$187&amp;"_1",管理者用人口入力シート!BH:CE,J190,FALSE),0)</f>
        <v>61</v>
      </c>
      <c r="I190" s="17">
        <f>ROUND(VLOOKUP(H$187&amp;"_2",管理者用人口入力シート!BH:CE,J190,FALSE),0)</f>
        <v>56</v>
      </c>
      <c r="J190" s="2">
        <v>5</v>
      </c>
      <c r="N190" s="2" t="s">
        <v>1</v>
      </c>
      <c r="O190" s="17">
        <f>ROUND(VLOOKUP(O$187&amp;"_1",管理者用人口入力シート!CO:DL,Q190,FALSE),0)</f>
        <v>65</v>
      </c>
      <c r="P190" s="17">
        <f>ROUND(VLOOKUP(O$187&amp;"_2",管理者用人口入力シート!CO:DL,Q190,FALSE),0)</f>
        <v>59</v>
      </c>
      <c r="Q190" s="2">
        <v>5</v>
      </c>
    </row>
    <row r="191" spans="7:17" x14ac:dyDescent="0.15">
      <c r="G191" s="2" t="s">
        <v>2</v>
      </c>
      <c r="H191" s="17">
        <f>ROUND(VLOOKUP(H$187&amp;"_1",管理者用人口入力シート!BH:CE,J191,FALSE),0)</f>
        <v>68</v>
      </c>
      <c r="I191" s="17">
        <f>ROUND(VLOOKUP(H$187&amp;"_2",管理者用人口入力シート!BH:CE,J191,FALSE),0)</f>
        <v>65</v>
      </c>
      <c r="J191" s="2">
        <v>6</v>
      </c>
      <c r="N191" s="2" t="s">
        <v>2</v>
      </c>
      <c r="O191" s="17">
        <f>ROUND(VLOOKUP(O$187&amp;"_1",管理者用人口入力シート!CO:DL,Q191,FALSE),0)</f>
        <v>73</v>
      </c>
      <c r="P191" s="17">
        <f>ROUND(VLOOKUP(O$187&amp;"_2",管理者用人口入力シート!CO:DL,Q191,FALSE),0)</f>
        <v>69</v>
      </c>
      <c r="Q191" s="2">
        <v>6</v>
      </c>
    </row>
    <row r="192" spans="7:17" x14ac:dyDescent="0.15">
      <c r="G192" s="2" t="s">
        <v>3</v>
      </c>
      <c r="H192" s="17">
        <f>ROUND(VLOOKUP(H$187&amp;"_1",管理者用人口入力シート!BH:CE,J192,FALSE),0)</f>
        <v>59</v>
      </c>
      <c r="I192" s="17">
        <f>ROUND(VLOOKUP(H$187&amp;"_2",管理者用人口入力シート!BH:CE,J192,FALSE),0)</f>
        <v>58</v>
      </c>
      <c r="J192" s="2">
        <v>7</v>
      </c>
      <c r="N192" s="2" t="s">
        <v>3</v>
      </c>
      <c r="O192" s="17">
        <f>ROUND(VLOOKUP(O$187&amp;"_1",管理者用人口入力シート!CO:DL,Q192,FALSE),0)</f>
        <v>62</v>
      </c>
      <c r="P192" s="17">
        <f>ROUND(VLOOKUP(O$187&amp;"_2",管理者用人口入力シート!CO:DL,Q192,FALSE),0)</f>
        <v>62</v>
      </c>
      <c r="Q192" s="2">
        <v>7</v>
      </c>
    </row>
    <row r="193" spans="7:17" x14ac:dyDescent="0.15">
      <c r="G193" s="2" t="s">
        <v>4</v>
      </c>
      <c r="H193" s="17">
        <f>ROUND(VLOOKUP(H$187&amp;"_1",管理者用人口入力シート!BH:CE,J193,FALSE),0)</f>
        <v>42</v>
      </c>
      <c r="I193" s="17">
        <f>ROUND(VLOOKUP(H$187&amp;"_2",管理者用人口入力シート!BH:CE,J193,FALSE),0)</f>
        <v>45</v>
      </c>
      <c r="J193" s="2">
        <v>8</v>
      </c>
      <c r="N193" s="2" t="s">
        <v>4</v>
      </c>
      <c r="O193" s="17">
        <f>ROUND(VLOOKUP(O$187&amp;"_1",管理者用人口入力シート!CO:DL,Q193,FALSE),0)</f>
        <v>44</v>
      </c>
      <c r="P193" s="17">
        <f>ROUND(VLOOKUP(O$187&amp;"_2",管理者用人口入力シート!CO:DL,Q193,FALSE),0)</f>
        <v>47</v>
      </c>
      <c r="Q193" s="2">
        <v>8</v>
      </c>
    </row>
    <row r="194" spans="7:17" x14ac:dyDescent="0.15">
      <c r="G194" s="2" t="s">
        <v>5</v>
      </c>
      <c r="H194" s="17">
        <f>ROUND(VLOOKUP(H$187&amp;"_1",管理者用人口入力シート!BH:CE,J194,FALSE),0)</f>
        <v>46</v>
      </c>
      <c r="I194" s="17">
        <f>ROUND(VLOOKUP(H$187&amp;"_2",管理者用人口入力シート!BH:CE,J194,FALSE),0)</f>
        <v>46</v>
      </c>
      <c r="J194" s="2">
        <v>9</v>
      </c>
      <c r="N194" s="2" t="s">
        <v>5</v>
      </c>
      <c r="O194" s="17">
        <f>ROUND(VLOOKUP(O$187&amp;"_1",管理者用人口入力シート!CO:DL,Q194,FALSE),0)</f>
        <v>49</v>
      </c>
      <c r="P194" s="17">
        <f>ROUND(VLOOKUP(O$187&amp;"_2",管理者用人口入力シート!CO:DL,Q194,FALSE),0)</f>
        <v>49</v>
      </c>
      <c r="Q194" s="2">
        <v>9</v>
      </c>
    </row>
    <row r="195" spans="7:17" x14ac:dyDescent="0.15">
      <c r="G195" s="2" t="s">
        <v>6</v>
      </c>
      <c r="H195" s="17">
        <f>ROUND(VLOOKUP(H$187&amp;"_1",管理者用人口入力シート!BH:CE,J195,FALSE),0)</f>
        <v>59</v>
      </c>
      <c r="I195" s="17">
        <f>ROUND(VLOOKUP(H$187&amp;"_2",管理者用人口入力シート!BH:CE,J195,FALSE),0)</f>
        <v>53</v>
      </c>
      <c r="J195" s="2">
        <v>10</v>
      </c>
      <c r="N195" s="2" t="s">
        <v>6</v>
      </c>
      <c r="O195" s="17">
        <f>ROUND(VLOOKUP(O$187&amp;"_1",管理者用人口入力シート!CO:DL,Q195,FALSE),0)</f>
        <v>61</v>
      </c>
      <c r="P195" s="17">
        <f>ROUND(VLOOKUP(O$187&amp;"_2",管理者用人口入力シート!CO:DL,Q195,FALSE),0)</f>
        <v>56</v>
      </c>
      <c r="Q195" s="2">
        <v>10</v>
      </c>
    </row>
    <row r="196" spans="7:17" x14ac:dyDescent="0.15">
      <c r="G196" s="2" t="s">
        <v>7</v>
      </c>
      <c r="H196" s="17">
        <f>ROUND(VLOOKUP(H$187&amp;"_1",管理者用人口入力シート!BH:CE,J196,FALSE),0)</f>
        <v>72</v>
      </c>
      <c r="I196" s="17">
        <f>ROUND(VLOOKUP(H$187&amp;"_2",管理者用人口入力シート!BH:CE,J196,FALSE),0)</f>
        <v>68</v>
      </c>
      <c r="J196" s="2">
        <v>11</v>
      </c>
      <c r="N196" s="2" t="s">
        <v>7</v>
      </c>
      <c r="O196" s="17">
        <f>ROUND(VLOOKUP(O$187&amp;"_1",管理者用人口入力シート!CO:DL,Q196,FALSE),0)</f>
        <v>74</v>
      </c>
      <c r="P196" s="17">
        <f>ROUND(VLOOKUP(O$187&amp;"_2",管理者用人口入力シート!CO:DL,Q196,FALSE),0)</f>
        <v>71</v>
      </c>
      <c r="Q196" s="2">
        <v>11</v>
      </c>
    </row>
    <row r="197" spans="7:17" x14ac:dyDescent="0.15">
      <c r="G197" s="2" t="s">
        <v>8</v>
      </c>
      <c r="H197" s="17">
        <f>ROUND(VLOOKUP(H$187&amp;"_1",管理者用人口入力シート!BH:CE,J197,FALSE),0)</f>
        <v>64</v>
      </c>
      <c r="I197" s="17">
        <f>ROUND(VLOOKUP(H$187&amp;"_2",管理者用人口入力シート!BH:CE,J197,FALSE),0)</f>
        <v>72</v>
      </c>
      <c r="J197" s="2">
        <v>12</v>
      </c>
      <c r="N197" s="2" t="s">
        <v>8</v>
      </c>
      <c r="O197" s="17">
        <f>ROUND(VLOOKUP(O$187&amp;"_1",管理者用人口入力シート!CO:DL,Q197,FALSE),0)</f>
        <v>67</v>
      </c>
      <c r="P197" s="17">
        <f>ROUND(VLOOKUP(O$187&amp;"_2",管理者用人口入力シート!CO:DL,Q197,FALSE),0)</f>
        <v>75</v>
      </c>
      <c r="Q197" s="2">
        <v>12</v>
      </c>
    </row>
    <row r="198" spans="7:17" x14ac:dyDescent="0.15">
      <c r="G198" s="2" t="s">
        <v>9</v>
      </c>
      <c r="H198" s="17">
        <f>ROUND(VLOOKUP(H$187&amp;"_1",管理者用人口入力シート!BH:CE,J198,FALSE),0)</f>
        <v>84</v>
      </c>
      <c r="I198" s="17">
        <f>ROUND(VLOOKUP(H$187&amp;"_2",管理者用人口入力シート!BH:CE,J198,FALSE),0)</f>
        <v>67</v>
      </c>
      <c r="J198" s="2">
        <v>13</v>
      </c>
      <c r="N198" s="2" t="s">
        <v>9</v>
      </c>
      <c r="O198" s="17">
        <f>ROUND(VLOOKUP(O$187&amp;"_1",管理者用人口入力シート!CO:DL,Q198,FALSE),0)</f>
        <v>86</v>
      </c>
      <c r="P198" s="17">
        <f>ROUND(VLOOKUP(O$187&amp;"_2",管理者用人口入力シート!CO:DL,Q198,FALSE),0)</f>
        <v>70</v>
      </c>
      <c r="Q198" s="2">
        <v>13</v>
      </c>
    </row>
    <row r="199" spans="7:17" x14ac:dyDescent="0.15">
      <c r="G199" s="2" t="s">
        <v>10</v>
      </c>
      <c r="H199" s="17">
        <f>ROUND(VLOOKUP(H$187&amp;"_1",管理者用人口入力シート!BH:CE,J199,FALSE),0)</f>
        <v>79</v>
      </c>
      <c r="I199" s="17">
        <f>ROUND(VLOOKUP(H$187&amp;"_2",管理者用人口入力シート!BH:CE,J199,FALSE),0)</f>
        <v>59</v>
      </c>
      <c r="J199" s="2">
        <v>14</v>
      </c>
      <c r="N199" s="2" t="s">
        <v>10</v>
      </c>
      <c r="O199" s="17">
        <f>ROUND(VLOOKUP(O$187&amp;"_1",管理者用人口入力シート!CO:DL,Q199,FALSE),0)</f>
        <v>81</v>
      </c>
      <c r="P199" s="17">
        <f>ROUND(VLOOKUP(O$187&amp;"_2",管理者用人口入力シート!CO:DL,Q199,FALSE),0)</f>
        <v>62</v>
      </c>
      <c r="Q199" s="2">
        <v>14</v>
      </c>
    </row>
    <row r="200" spans="7:17" x14ac:dyDescent="0.15">
      <c r="G200" s="2" t="s">
        <v>11</v>
      </c>
      <c r="H200" s="17">
        <f>ROUND(VLOOKUP(H$187&amp;"_1",管理者用人口入力シート!BH:CE,J200,FALSE),0)</f>
        <v>100</v>
      </c>
      <c r="I200" s="17">
        <f>ROUND(VLOOKUP(H$187&amp;"_2",管理者用人口入力シート!BH:CE,J200,FALSE),0)</f>
        <v>88</v>
      </c>
      <c r="J200" s="2">
        <v>15</v>
      </c>
      <c r="N200" s="2" t="s">
        <v>11</v>
      </c>
      <c r="O200" s="17">
        <f>ROUND(VLOOKUP(O$187&amp;"_1",管理者用人口入力シート!CO:DL,Q200,FALSE),0)</f>
        <v>100</v>
      </c>
      <c r="P200" s="17">
        <f>ROUND(VLOOKUP(O$187&amp;"_2",管理者用人口入力シート!CO:DL,Q200,FALSE),0)</f>
        <v>89</v>
      </c>
      <c r="Q200" s="2">
        <v>15</v>
      </c>
    </row>
    <row r="201" spans="7:17" x14ac:dyDescent="0.15">
      <c r="G201" s="2" t="s">
        <v>12</v>
      </c>
      <c r="H201" s="17">
        <f>ROUND(VLOOKUP(H$187&amp;"_1",管理者用人口入力シート!BH:CE,J201,FALSE),0)</f>
        <v>131</v>
      </c>
      <c r="I201" s="17">
        <f>ROUND(VLOOKUP(H$187&amp;"_2",管理者用人口入力シート!BH:CE,J201,FALSE),0)</f>
        <v>123</v>
      </c>
      <c r="J201" s="2">
        <v>16</v>
      </c>
      <c r="N201" s="2" t="s">
        <v>12</v>
      </c>
      <c r="O201" s="17">
        <f>ROUND(VLOOKUP(O$187&amp;"_1",管理者用人口入力シート!CO:DL,Q201,FALSE),0)</f>
        <v>131</v>
      </c>
      <c r="P201" s="17">
        <f>ROUND(VLOOKUP(O$187&amp;"_2",管理者用人口入力シート!CO:DL,Q201,FALSE),0)</f>
        <v>124</v>
      </c>
      <c r="Q201" s="2">
        <v>16</v>
      </c>
    </row>
    <row r="202" spans="7:17" x14ac:dyDescent="0.15">
      <c r="G202" s="2" t="s">
        <v>13</v>
      </c>
      <c r="H202" s="17">
        <f>ROUND(VLOOKUP(H$187&amp;"_1",管理者用人口入力シート!BH:CE,J202,FALSE),0)</f>
        <v>147</v>
      </c>
      <c r="I202" s="17">
        <f>ROUND(VLOOKUP(H$187&amp;"_2",管理者用人口入力シート!BH:CE,J202,FALSE),0)</f>
        <v>150</v>
      </c>
      <c r="J202" s="2">
        <v>17</v>
      </c>
      <c r="N202" s="2" t="s">
        <v>13</v>
      </c>
      <c r="O202" s="17">
        <f>ROUND(VLOOKUP(O$187&amp;"_1",管理者用人口入力シート!CO:DL,Q202,FALSE),0)</f>
        <v>147</v>
      </c>
      <c r="P202" s="17">
        <f>ROUND(VLOOKUP(O$187&amp;"_2",管理者用人口入力シート!CO:DL,Q202,FALSE),0)</f>
        <v>151</v>
      </c>
      <c r="Q202" s="2">
        <v>17</v>
      </c>
    </row>
    <row r="203" spans="7:17" x14ac:dyDescent="0.15">
      <c r="G203" s="2" t="s">
        <v>14</v>
      </c>
      <c r="H203" s="17">
        <f>ROUND(VLOOKUP(H$187&amp;"_1",管理者用人口入力シート!BH:CE,J203,FALSE),0)</f>
        <v>125</v>
      </c>
      <c r="I203" s="17">
        <f>ROUND(VLOOKUP(H$187&amp;"_2",管理者用人口入力シート!BH:CE,J203,FALSE),0)</f>
        <v>156</v>
      </c>
      <c r="J203" s="2">
        <v>18</v>
      </c>
      <c r="N203" s="2" t="s">
        <v>14</v>
      </c>
      <c r="O203" s="17">
        <f>ROUND(VLOOKUP(O$187&amp;"_1",管理者用人口入力シート!CO:DL,Q203,FALSE),0)</f>
        <v>125</v>
      </c>
      <c r="P203" s="17">
        <f>ROUND(VLOOKUP(O$187&amp;"_2",管理者用人口入力シート!CO:DL,Q203,FALSE),0)</f>
        <v>156</v>
      </c>
      <c r="Q203" s="2">
        <v>18</v>
      </c>
    </row>
    <row r="204" spans="7:17" x14ac:dyDescent="0.15">
      <c r="G204" s="2" t="s">
        <v>15</v>
      </c>
      <c r="H204" s="17">
        <f>ROUND(VLOOKUP(H$187&amp;"_1",管理者用人口入力シート!BH:CE,J204,FALSE),0)</f>
        <v>110</v>
      </c>
      <c r="I204" s="17">
        <f>ROUND(VLOOKUP(H$187&amp;"_2",管理者用人口入力シート!BH:CE,J204,FALSE),0)</f>
        <v>130</v>
      </c>
      <c r="J204" s="2">
        <v>19</v>
      </c>
      <c r="N204" s="2" t="s">
        <v>15</v>
      </c>
      <c r="O204" s="17">
        <f>ROUND(VLOOKUP(O$187&amp;"_1",管理者用人口入力シート!CO:DL,Q204,FALSE),0)</f>
        <v>110</v>
      </c>
      <c r="P204" s="17">
        <f>ROUND(VLOOKUP(O$187&amp;"_2",管理者用人口入力シート!CO:DL,Q204,FALSE),0)</f>
        <v>130</v>
      </c>
      <c r="Q204" s="2">
        <v>19</v>
      </c>
    </row>
    <row r="205" spans="7:17" x14ac:dyDescent="0.15">
      <c r="G205" s="2" t="s">
        <v>16</v>
      </c>
      <c r="H205" s="17">
        <f>ROUND(VLOOKUP(H$187&amp;"_1",管理者用人口入力シート!BH:CE,J205,FALSE),0)</f>
        <v>88</v>
      </c>
      <c r="I205" s="17">
        <f>ROUND(VLOOKUP(H$187&amp;"_2",管理者用人口入力シート!BH:CE,J205,FALSE),0)</f>
        <v>137</v>
      </c>
      <c r="J205" s="2">
        <v>20</v>
      </c>
      <c r="N205" s="2" t="s">
        <v>16</v>
      </c>
      <c r="O205" s="17">
        <f>ROUND(VLOOKUP(O$187&amp;"_1",管理者用人口入力シート!CO:DL,Q205,FALSE),0)</f>
        <v>88</v>
      </c>
      <c r="P205" s="17">
        <f>ROUND(VLOOKUP(O$187&amp;"_2",管理者用人口入力シート!CO:DL,Q205,FALSE),0)</f>
        <v>137</v>
      </c>
      <c r="Q205" s="2">
        <v>20</v>
      </c>
    </row>
    <row r="206" spans="7:17" x14ac:dyDescent="0.15">
      <c r="G206" s="2" t="s">
        <v>17</v>
      </c>
      <c r="H206" s="17">
        <f>ROUND(VLOOKUP(H$187&amp;"_1",管理者用人口入力シート!BH:CE,J206,FALSE),0)</f>
        <v>75</v>
      </c>
      <c r="I206" s="17">
        <f>ROUND(VLOOKUP(H$187&amp;"_2",管理者用人口入力シート!BH:CE,J206,FALSE),0)</f>
        <v>154</v>
      </c>
      <c r="J206" s="2">
        <v>21</v>
      </c>
      <c r="N206" s="2" t="s">
        <v>17</v>
      </c>
      <c r="O206" s="17">
        <f>ROUND(VLOOKUP(O$187&amp;"_1",管理者用人口入力シート!CO:DL,Q206,FALSE),0)</f>
        <v>75</v>
      </c>
      <c r="P206" s="17">
        <f>ROUND(VLOOKUP(O$187&amp;"_2",管理者用人口入力シート!CO:DL,Q206,FALSE),0)</f>
        <v>154</v>
      </c>
      <c r="Q206" s="2">
        <v>21</v>
      </c>
    </row>
    <row r="207" spans="7:17" x14ac:dyDescent="0.15">
      <c r="G207" s="2" t="s">
        <v>18</v>
      </c>
      <c r="H207" s="17">
        <f>ROUND(VLOOKUP(H$187&amp;"_1",管理者用人口入力シート!BH:CE,J207,FALSE),0)</f>
        <v>50</v>
      </c>
      <c r="I207" s="17">
        <f>ROUND(VLOOKUP(H$187&amp;"_2",管理者用人口入力シート!BH:CE,J207,FALSE),0)</f>
        <v>155</v>
      </c>
      <c r="J207" s="2">
        <v>22</v>
      </c>
      <c r="N207" s="2" t="s">
        <v>18</v>
      </c>
      <c r="O207" s="17">
        <f>ROUND(VLOOKUP(O$187&amp;"_1",管理者用人口入力シート!CO:DL,Q207,FALSE),0)</f>
        <v>50</v>
      </c>
      <c r="P207" s="17">
        <f>ROUND(VLOOKUP(O$187&amp;"_2",管理者用人口入力シート!CO:DL,Q207,FALSE),0)</f>
        <v>155</v>
      </c>
      <c r="Q207" s="2">
        <v>22</v>
      </c>
    </row>
    <row r="208" spans="7:17" x14ac:dyDescent="0.15">
      <c r="G208" s="2" t="s">
        <v>19</v>
      </c>
      <c r="H208" s="17">
        <f>ROUND(VLOOKUP(H$187&amp;"_1",管理者用人口入力シート!BH:CE,J208,FALSE),0)</f>
        <v>16</v>
      </c>
      <c r="I208" s="17">
        <f>ROUND(VLOOKUP(H$187&amp;"_2",管理者用人口入力シート!BH:CE,J208,FALSE),0)</f>
        <v>84</v>
      </c>
      <c r="J208" s="2">
        <v>23</v>
      </c>
      <c r="N208" s="2" t="s">
        <v>19</v>
      </c>
      <c r="O208" s="17">
        <f>ROUND(VLOOKUP(O$187&amp;"_1",管理者用人口入力シート!CO:DL,Q208,FALSE),0)</f>
        <v>16</v>
      </c>
      <c r="P208" s="17">
        <f>ROUND(VLOOKUP(O$187&amp;"_2",管理者用人口入力シート!CO:DL,Q208,FALSE),0)</f>
        <v>84</v>
      </c>
      <c r="Q208" s="2">
        <v>23</v>
      </c>
    </row>
    <row r="209" spans="7:17" x14ac:dyDescent="0.15">
      <c r="G209" s="2" t="s">
        <v>20</v>
      </c>
      <c r="H209" s="17">
        <f>ROUND(VLOOKUP(H$187&amp;"_1",管理者用人口入力シート!BH:CE,J209,FALSE),0)</f>
        <v>3</v>
      </c>
      <c r="I209" s="17">
        <f>ROUND(VLOOKUP(H$187&amp;"_2",管理者用人口入力シート!BH:CE,J209,FALSE),0)</f>
        <v>16</v>
      </c>
      <c r="J209" s="2">
        <v>24</v>
      </c>
      <c r="N209" s="2" t="s">
        <v>20</v>
      </c>
      <c r="O209" s="17">
        <f>ROUND(VLOOKUP(O$187&amp;"_1",管理者用人口入力シート!CO:DL,Q209,FALSE),0)</f>
        <v>3</v>
      </c>
      <c r="P209" s="17">
        <f>ROUND(VLOOKUP(O$187&amp;"_2",管理者用人口入力シート!CO:DL,Q209,FALSE),0)</f>
        <v>16</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120</v>
      </c>
      <c r="P214" s="17">
        <f>O93+P93</f>
        <v>124</v>
      </c>
      <c r="Q214" s="2">
        <v>4</v>
      </c>
    </row>
    <row r="215" spans="7:17" x14ac:dyDescent="0.15">
      <c r="N215" s="2" t="s">
        <v>1</v>
      </c>
      <c r="O215" s="17">
        <f t="shared" ref="O215:O233" si="37">H94+I94</f>
        <v>164</v>
      </c>
      <c r="P215" s="17">
        <f t="shared" ref="P215:P233" si="38">O94+P94</f>
        <v>166</v>
      </c>
      <c r="Q215" s="2">
        <v>5</v>
      </c>
    </row>
    <row r="216" spans="7:17" x14ac:dyDescent="0.15">
      <c r="N216" s="2" t="s">
        <v>2</v>
      </c>
      <c r="O216" s="17">
        <f t="shared" si="37"/>
        <v>216</v>
      </c>
      <c r="P216" s="17">
        <f t="shared" si="38"/>
        <v>218</v>
      </c>
      <c r="Q216" s="2">
        <v>6</v>
      </c>
    </row>
    <row r="217" spans="7:17" x14ac:dyDescent="0.15">
      <c r="N217" s="2" t="s">
        <v>3</v>
      </c>
      <c r="O217" s="17">
        <f t="shared" si="37"/>
        <v>221</v>
      </c>
      <c r="P217" s="17">
        <f t="shared" si="38"/>
        <v>223</v>
      </c>
      <c r="Q217" s="2">
        <v>7</v>
      </c>
    </row>
    <row r="218" spans="7:17" x14ac:dyDescent="0.15">
      <c r="N218" s="2" t="s">
        <v>4</v>
      </c>
      <c r="O218" s="17">
        <f t="shared" si="37"/>
        <v>148</v>
      </c>
      <c r="P218" s="17">
        <f t="shared" si="38"/>
        <v>148</v>
      </c>
      <c r="Q218" s="2">
        <v>8</v>
      </c>
    </row>
    <row r="219" spans="7:17" x14ac:dyDescent="0.15">
      <c r="N219" s="2" t="s">
        <v>5</v>
      </c>
      <c r="O219" s="17">
        <f t="shared" si="37"/>
        <v>141</v>
      </c>
      <c r="P219" s="17">
        <f t="shared" si="38"/>
        <v>145</v>
      </c>
      <c r="Q219" s="2">
        <v>9</v>
      </c>
    </row>
    <row r="220" spans="7:17" x14ac:dyDescent="0.15">
      <c r="N220" s="2" t="s">
        <v>6</v>
      </c>
      <c r="O220" s="17">
        <f t="shared" si="37"/>
        <v>129</v>
      </c>
      <c r="P220" s="17">
        <f t="shared" si="38"/>
        <v>133</v>
      </c>
      <c r="Q220" s="2">
        <v>10</v>
      </c>
    </row>
    <row r="221" spans="7:17" x14ac:dyDescent="0.15">
      <c r="N221" s="2" t="s">
        <v>7</v>
      </c>
      <c r="O221" s="17">
        <f t="shared" si="37"/>
        <v>187</v>
      </c>
      <c r="P221" s="17">
        <f t="shared" si="38"/>
        <v>187</v>
      </c>
      <c r="Q221" s="2">
        <v>11</v>
      </c>
    </row>
    <row r="222" spans="7:17" x14ac:dyDescent="0.15">
      <c r="N222" s="2" t="s">
        <v>8</v>
      </c>
      <c r="O222" s="17">
        <f t="shared" si="37"/>
        <v>258</v>
      </c>
      <c r="P222" s="17">
        <f t="shared" si="38"/>
        <v>259</v>
      </c>
      <c r="Q222" s="2">
        <v>12</v>
      </c>
    </row>
    <row r="223" spans="7:17" x14ac:dyDescent="0.15">
      <c r="N223" s="2" t="s">
        <v>9</v>
      </c>
      <c r="O223" s="17">
        <f t="shared" si="37"/>
        <v>322</v>
      </c>
      <c r="P223" s="17">
        <f t="shared" si="38"/>
        <v>323</v>
      </c>
      <c r="Q223" s="2">
        <v>13</v>
      </c>
    </row>
    <row r="224" spans="7:17" x14ac:dyDescent="0.15">
      <c r="N224" s="2" t="s">
        <v>10</v>
      </c>
      <c r="O224" s="17">
        <f t="shared" si="37"/>
        <v>312</v>
      </c>
      <c r="P224" s="17">
        <f t="shared" si="38"/>
        <v>312</v>
      </c>
      <c r="Q224" s="2">
        <v>14</v>
      </c>
    </row>
    <row r="225" spans="14:17" x14ac:dyDescent="0.15">
      <c r="N225" s="2" t="s">
        <v>11</v>
      </c>
      <c r="O225" s="17">
        <f t="shared" si="37"/>
        <v>288</v>
      </c>
      <c r="P225" s="17">
        <f t="shared" si="38"/>
        <v>288</v>
      </c>
      <c r="Q225" s="2">
        <v>15</v>
      </c>
    </row>
    <row r="226" spans="14:17" x14ac:dyDescent="0.15">
      <c r="N226" s="2" t="s">
        <v>12</v>
      </c>
      <c r="O226" s="17">
        <f t="shared" si="37"/>
        <v>287</v>
      </c>
      <c r="P226" s="17">
        <f t="shared" si="38"/>
        <v>287</v>
      </c>
      <c r="Q226" s="2">
        <v>16</v>
      </c>
    </row>
    <row r="227" spans="14:17" x14ac:dyDescent="0.15">
      <c r="N227" s="2" t="s">
        <v>13</v>
      </c>
      <c r="O227" s="17">
        <f t="shared" si="37"/>
        <v>316</v>
      </c>
      <c r="P227" s="17">
        <f t="shared" si="38"/>
        <v>316</v>
      </c>
      <c r="Q227" s="2">
        <v>17</v>
      </c>
    </row>
    <row r="228" spans="14:17" x14ac:dyDescent="0.15">
      <c r="N228" s="2" t="s">
        <v>14</v>
      </c>
      <c r="O228" s="17">
        <f t="shared" si="37"/>
        <v>433</v>
      </c>
      <c r="P228" s="17">
        <f t="shared" si="38"/>
        <v>433</v>
      </c>
      <c r="Q228" s="2">
        <v>18</v>
      </c>
    </row>
    <row r="229" spans="14:17" x14ac:dyDescent="0.15">
      <c r="N229" s="2" t="s">
        <v>15</v>
      </c>
      <c r="O229" s="17">
        <f t="shared" si="37"/>
        <v>456</v>
      </c>
      <c r="P229" s="17">
        <f t="shared" si="38"/>
        <v>456</v>
      </c>
      <c r="Q229" s="2">
        <v>19</v>
      </c>
    </row>
    <row r="230" spans="14:17" x14ac:dyDescent="0.15">
      <c r="N230" s="2" t="s">
        <v>16</v>
      </c>
      <c r="O230" s="17">
        <f t="shared" si="37"/>
        <v>401</v>
      </c>
      <c r="P230" s="17">
        <f t="shared" si="38"/>
        <v>401</v>
      </c>
      <c r="Q230" s="2">
        <v>20</v>
      </c>
    </row>
    <row r="231" spans="14:17" x14ac:dyDescent="0.15">
      <c r="N231" s="2" t="s">
        <v>17</v>
      </c>
      <c r="O231" s="17">
        <f t="shared" si="37"/>
        <v>250</v>
      </c>
      <c r="P231" s="17">
        <f t="shared" si="38"/>
        <v>250</v>
      </c>
      <c r="Q231" s="2">
        <v>21</v>
      </c>
    </row>
    <row r="232" spans="14:17" x14ac:dyDescent="0.15">
      <c r="N232" s="2" t="s">
        <v>18</v>
      </c>
      <c r="O232" s="17">
        <f t="shared" si="37"/>
        <v>165</v>
      </c>
      <c r="P232" s="17">
        <f t="shared" si="38"/>
        <v>165</v>
      </c>
      <c r="Q232" s="2">
        <v>22</v>
      </c>
    </row>
    <row r="233" spans="14:17" x14ac:dyDescent="0.15">
      <c r="N233" s="2" t="s">
        <v>19</v>
      </c>
      <c r="O233" s="17">
        <f t="shared" si="37"/>
        <v>76</v>
      </c>
      <c r="P233" s="17">
        <f t="shared" si="38"/>
        <v>76</v>
      </c>
      <c r="Q233" s="2">
        <v>23</v>
      </c>
    </row>
    <row r="234" spans="14:17" x14ac:dyDescent="0.15">
      <c r="N234" s="2" t="s">
        <v>20</v>
      </c>
      <c r="O234" s="17">
        <f>H113+I113</f>
        <v>13</v>
      </c>
      <c r="P234" s="17">
        <f>O113+P113</f>
        <v>13</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109</v>
      </c>
      <c r="P238" s="17">
        <f>O141+P141</f>
        <v>114</v>
      </c>
      <c r="Q238" s="2">
        <v>4</v>
      </c>
    </row>
    <row r="239" spans="14:17" x14ac:dyDescent="0.15">
      <c r="N239" s="2" t="s">
        <v>1</v>
      </c>
      <c r="O239" s="17">
        <f t="shared" ref="O239:O257" si="39">H142+I142</f>
        <v>129</v>
      </c>
      <c r="P239" s="17">
        <f t="shared" ref="P239:P257" si="40">O142+P142</f>
        <v>135</v>
      </c>
      <c r="Q239" s="2">
        <v>5</v>
      </c>
    </row>
    <row r="240" spans="14:17" x14ac:dyDescent="0.15">
      <c r="N240" s="2" t="s">
        <v>2</v>
      </c>
      <c r="O240" s="17">
        <f t="shared" si="39"/>
        <v>146</v>
      </c>
      <c r="P240" s="17">
        <f t="shared" si="40"/>
        <v>152</v>
      </c>
      <c r="Q240" s="2">
        <v>6</v>
      </c>
    </row>
    <row r="241" spans="14:17" x14ac:dyDescent="0.15">
      <c r="N241" s="2" t="s">
        <v>3</v>
      </c>
      <c r="O241" s="17">
        <f t="shared" si="39"/>
        <v>148</v>
      </c>
      <c r="P241" s="17">
        <f t="shared" si="40"/>
        <v>152</v>
      </c>
      <c r="Q241" s="2">
        <v>7</v>
      </c>
    </row>
    <row r="242" spans="14:17" x14ac:dyDescent="0.15">
      <c r="N242" s="2" t="s">
        <v>4</v>
      </c>
      <c r="O242" s="17">
        <f t="shared" si="39"/>
        <v>128</v>
      </c>
      <c r="P242" s="17">
        <f t="shared" si="40"/>
        <v>130</v>
      </c>
      <c r="Q242" s="2">
        <v>8</v>
      </c>
    </row>
    <row r="243" spans="14:17" x14ac:dyDescent="0.15">
      <c r="N243" s="2" t="s">
        <v>5</v>
      </c>
      <c r="O243" s="17">
        <f t="shared" si="39"/>
        <v>136</v>
      </c>
      <c r="P243" s="17">
        <f t="shared" si="40"/>
        <v>142</v>
      </c>
      <c r="Q243" s="2">
        <v>9</v>
      </c>
    </row>
    <row r="244" spans="14:17" x14ac:dyDescent="0.15">
      <c r="N244" s="2" t="s">
        <v>6</v>
      </c>
      <c r="O244" s="17">
        <f t="shared" si="39"/>
        <v>129</v>
      </c>
      <c r="P244" s="17">
        <f t="shared" si="40"/>
        <v>132</v>
      </c>
      <c r="Q244" s="2">
        <v>10</v>
      </c>
    </row>
    <row r="245" spans="14:17" x14ac:dyDescent="0.15">
      <c r="N245" s="2" t="s">
        <v>7</v>
      </c>
      <c r="O245" s="17">
        <f t="shared" si="39"/>
        <v>145</v>
      </c>
      <c r="P245" s="17">
        <f t="shared" si="40"/>
        <v>149</v>
      </c>
      <c r="Q245" s="2">
        <v>11</v>
      </c>
    </row>
    <row r="246" spans="14:17" x14ac:dyDescent="0.15">
      <c r="N246" s="2" t="s">
        <v>8</v>
      </c>
      <c r="O246" s="17">
        <f t="shared" si="39"/>
        <v>136</v>
      </c>
      <c r="P246" s="17">
        <f t="shared" si="40"/>
        <v>141</v>
      </c>
      <c r="Q246" s="2">
        <v>12</v>
      </c>
    </row>
    <row r="247" spans="14:17" x14ac:dyDescent="0.15">
      <c r="N247" s="2" t="s">
        <v>9</v>
      </c>
      <c r="O247" s="17">
        <f t="shared" si="39"/>
        <v>194</v>
      </c>
      <c r="P247" s="17">
        <f t="shared" si="40"/>
        <v>195</v>
      </c>
      <c r="Q247" s="2">
        <v>13</v>
      </c>
    </row>
    <row r="248" spans="14:17" x14ac:dyDescent="0.15">
      <c r="N248" s="2" t="s">
        <v>10</v>
      </c>
      <c r="O248" s="17">
        <f t="shared" si="39"/>
        <v>260</v>
      </c>
      <c r="P248" s="17">
        <f t="shared" si="40"/>
        <v>261</v>
      </c>
      <c r="Q248" s="2">
        <v>14</v>
      </c>
    </row>
    <row r="249" spans="14:17" x14ac:dyDescent="0.15">
      <c r="N249" s="2" t="s">
        <v>11</v>
      </c>
      <c r="O249" s="17">
        <f t="shared" si="39"/>
        <v>311</v>
      </c>
      <c r="P249" s="17">
        <f t="shared" si="40"/>
        <v>312</v>
      </c>
      <c r="Q249" s="2">
        <v>15</v>
      </c>
    </row>
    <row r="250" spans="14:17" x14ac:dyDescent="0.15">
      <c r="N250" s="2" t="s">
        <v>12</v>
      </c>
      <c r="O250" s="17">
        <f t="shared" si="39"/>
        <v>304</v>
      </c>
      <c r="P250" s="17">
        <f t="shared" si="40"/>
        <v>304</v>
      </c>
      <c r="Q250" s="2">
        <v>16</v>
      </c>
    </row>
    <row r="251" spans="14:17" x14ac:dyDescent="0.15">
      <c r="N251" s="2" t="s">
        <v>13</v>
      </c>
      <c r="O251" s="17">
        <f t="shared" si="39"/>
        <v>275</v>
      </c>
      <c r="P251" s="17">
        <f t="shared" si="40"/>
        <v>275</v>
      </c>
      <c r="Q251" s="2">
        <v>17</v>
      </c>
    </row>
    <row r="252" spans="14:17" x14ac:dyDescent="0.15">
      <c r="N252" s="2" t="s">
        <v>14</v>
      </c>
      <c r="O252" s="17">
        <f t="shared" si="39"/>
        <v>265</v>
      </c>
      <c r="P252" s="17">
        <f t="shared" si="40"/>
        <v>265</v>
      </c>
      <c r="Q252" s="2">
        <v>18</v>
      </c>
    </row>
    <row r="253" spans="14:17" x14ac:dyDescent="0.15">
      <c r="N253" s="2" t="s">
        <v>15</v>
      </c>
      <c r="O253" s="17">
        <f t="shared" si="39"/>
        <v>277</v>
      </c>
      <c r="P253" s="17">
        <f t="shared" si="40"/>
        <v>277</v>
      </c>
      <c r="Q253" s="2">
        <v>19</v>
      </c>
    </row>
    <row r="254" spans="14:17" x14ac:dyDescent="0.15">
      <c r="N254" s="2" t="s">
        <v>16</v>
      </c>
      <c r="O254" s="17">
        <f t="shared" si="39"/>
        <v>367</v>
      </c>
      <c r="P254" s="17">
        <f t="shared" si="40"/>
        <v>367</v>
      </c>
      <c r="Q254" s="2">
        <v>20</v>
      </c>
    </row>
    <row r="255" spans="14:17" x14ac:dyDescent="0.15">
      <c r="N255" s="2" t="s">
        <v>17</v>
      </c>
      <c r="O255" s="17">
        <f t="shared" si="39"/>
        <v>376</v>
      </c>
      <c r="P255" s="17">
        <f t="shared" si="40"/>
        <v>376</v>
      </c>
      <c r="Q255" s="2">
        <v>21</v>
      </c>
    </row>
    <row r="256" spans="14:17" x14ac:dyDescent="0.15">
      <c r="N256" s="2" t="s">
        <v>18</v>
      </c>
      <c r="O256" s="17">
        <f t="shared" si="39"/>
        <v>219</v>
      </c>
      <c r="P256" s="17">
        <f t="shared" si="40"/>
        <v>219</v>
      </c>
      <c r="Q256" s="2">
        <v>22</v>
      </c>
    </row>
    <row r="257" spans="14:17" x14ac:dyDescent="0.15">
      <c r="N257" s="2" t="s">
        <v>19</v>
      </c>
      <c r="O257" s="17">
        <f t="shared" si="39"/>
        <v>67</v>
      </c>
      <c r="P257" s="17">
        <f t="shared" si="40"/>
        <v>67</v>
      </c>
      <c r="Q257" s="2">
        <v>23</v>
      </c>
    </row>
    <row r="258" spans="14:17" x14ac:dyDescent="0.15">
      <c r="N258" s="2" t="s">
        <v>20</v>
      </c>
      <c r="O258" s="17">
        <f>H161+I161</f>
        <v>14</v>
      </c>
      <c r="P258" s="17">
        <f>O161+P161</f>
        <v>14</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2019-03-18T12:07:03Z</cp:lastPrinted>
  <dcterms:created xsi:type="dcterms:W3CDTF">2018-08-17T00:57:13Z</dcterms:created>
  <dcterms:modified xsi:type="dcterms:W3CDTF">2023-03-06T07:54:52Z</dcterms:modified>
</cp:coreProperties>
</file>