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XKB59SKUdmzfvxkl+yiaSInFj0HCxwDPeJSOvvofTfAUO+AwSmuy4xUREDiI0biL363tZB1UpOOKWakFYdfm6Q==" workbookSaltValue="ii81lohezTu9yNveRihgI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AP8" i="17"/>
  <c r="BO4" i="17" s="1"/>
  <c r="CV4" i="17" s="1"/>
  <c r="AX8" i="17"/>
  <c r="BW4" i="17" s="1"/>
  <c r="DD4"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ED4" i="17" l="1"/>
  <c r="ED5" i="17" s="1"/>
  <c r="BW5" i="17"/>
  <c r="EL4" i="17"/>
  <c r="EL21" i="17" s="1"/>
  <c r="EL22" i="17" s="1"/>
  <c r="BZ7" i="17"/>
  <c r="CA10" i="17" s="1"/>
  <c r="CB13" i="17" s="1"/>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Z8" i="17" l="1"/>
  <c r="EL5" i="17"/>
  <c r="CM5"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B16" i="17"/>
  <c r="DC19" i="17" s="1"/>
  <c r="P200" i="18" s="1"/>
  <c r="DE12" i="17"/>
  <c r="DF15" i="17" s="1"/>
  <c r="O129" i="18"/>
  <c r="DI13" i="17"/>
  <c r="P133" i="18"/>
  <c r="DH19" i="17"/>
  <c r="P205" i="18" s="1"/>
  <c r="P180" i="18"/>
  <c r="DH13" i="17"/>
  <c r="P132" i="18"/>
  <c r="O105" i="18"/>
  <c r="P226" i="18" s="1"/>
  <c r="O153" i="18"/>
  <c r="P250" i="18" s="1"/>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EY25" i="17" l="1"/>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G3" i="17"/>
  <c r="EE12" i="17"/>
  <c r="EF3" i="17"/>
  <c r="EE6" i="17"/>
  <c r="EE4" i="17"/>
  <c r="EF7" i="17" s="1"/>
  <c r="EF4" i="17"/>
  <c r="EF21" i="17" s="1"/>
  <c r="EE3" i="17"/>
  <c r="EE13" i="17"/>
  <c r="EE7" i="17"/>
  <c r="C37" i="21"/>
  <c r="EG4" i="17"/>
  <c r="EE10"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E30" i="17"/>
  <c r="D38" i="21"/>
  <c r="C38" i="21"/>
  <c r="C39" i="21"/>
  <c r="D39" i="21"/>
  <c r="D37" i="21"/>
  <c r="EF6" i="17"/>
  <c r="EF8" i="17" s="1"/>
  <c r="FB3" i="17"/>
  <c r="EE5" i="17"/>
  <c r="EE20" i="17"/>
  <c r="EU3" i="17"/>
  <c r="EF29" i="17"/>
  <c r="EG7" i="17"/>
  <c r="FB7" i="17" s="1"/>
  <c r="EE21" i="17"/>
  <c r="EU4" i="17"/>
  <c r="FB4" i="17"/>
  <c r="EE24" i="17"/>
  <c r="EG10" i="17"/>
  <c r="EF24" i="17"/>
  <c r="EE23" i="17"/>
  <c r="EE8" i="17"/>
  <c r="EG6" i="17"/>
  <c r="EF5" i="17"/>
  <c r="EF20" i="17"/>
  <c r="EF22" i="17" s="1"/>
  <c r="EF10" i="17"/>
  <c r="EE29" i="17"/>
  <c r="EE31" i="17" s="1"/>
  <c r="EE14" i="17"/>
  <c r="EF9" i="17"/>
  <c r="EH6" i="17"/>
  <c r="EG5" i="17"/>
  <c r="EG20" i="17"/>
  <c r="EF13" i="17"/>
  <c r="EF30" i="17" s="1"/>
  <c r="EE27" i="17"/>
  <c r="EG21" i="17"/>
  <c r="EH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25" i="17" l="1"/>
  <c r="EG12" i="17"/>
  <c r="EF26" i="17"/>
  <c r="EF11" i="17"/>
  <c r="FB10" i="17"/>
  <c r="EH13" i="17"/>
  <c r="EH30" i="17" s="1"/>
  <c r="EG27" i="17"/>
  <c r="EU5" i="17"/>
  <c r="FB5" i="17"/>
  <c r="DZ7" i="17"/>
  <c r="DZ6" i="17"/>
  <c r="EF23" i="17"/>
  <c r="EF25" i="17" s="1"/>
  <c r="EG9" i="17"/>
  <c r="EG13" i="17"/>
  <c r="EG30" i="17" s="1"/>
  <c r="FB30" i="17" s="1"/>
  <c r="EF27" i="17"/>
  <c r="EI10" i="17"/>
  <c r="EH24" i="17"/>
  <c r="FA4" i="17"/>
  <c r="EZ4" i="17"/>
  <c r="FB20" i="17"/>
  <c r="EU20" i="17"/>
  <c r="EE22" i="17"/>
  <c r="FB21" i="17"/>
  <c r="EU21" i="17"/>
  <c r="EZ3" i="17"/>
  <c r="FA3" i="17"/>
  <c r="EE28" i="17"/>
  <c r="EG23" i="17"/>
  <c r="EH9" i="17"/>
  <c r="EG8" i="17"/>
  <c r="FB8" i="17" s="1"/>
  <c r="EH10" i="17"/>
  <c r="EG24" i="17"/>
  <c r="EF31" i="17"/>
  <c r="EI9" i="17"/>
  <c r="EH23" i="17"/>
  <c r="EH8" i="17"/>
  <c r="EG22" i="17"/>
  <c r="FB6" i="17"/>
  <c r="EF14" i="17"/>
  <c r="D11" i="19"/>
  <c r="CK18" i="17"/>
  <c r="DS20" i="17"/>
  <c r="DS18" i="17"/>
  <c r="CK19" i="17"/>
  <c r="CL19" i="17"/>
  <c r="CF20" i="17"/>
  <c r="EG25" i="17" l="1"/>
  <c r="FB25" i="17"/>
  <c r="EH25" i="17"/>
  <c r="EZ5" i="17"/>
  <c r="FA5" i="17"/>
  <c r="DZ23" i="17"/>
  <c r="EA9" i="17"/>
  <c r="EU6" i="17"/>
  <c r="DZ8" i="17"/>
  <c r="EU8" i="17" s="1"/>
  <c r="FA20" i="17"/>
  <c r="EZ20" i="17"/>
  <c r="DZ24" i="17"/>
  <c r="EU24" i="17" s="1"/>
  <c r="EA10" i="17"/>
  <c r="EU7" i="17"/>
  <c r="EJ13" i="17"/>
  <c r="EJ30" i="17" s="1"/>
  <c r="EI27" i="17"/>
  <c r="DZ10" i="17"/>
  <c r="DZ9" i="17"/>
  <c r="EH27" i="17"/>
  <c r="EI13" i="17"/>
  <c r="EI30" i="17" s="1"/>
  <c r="FB23" i="17"/>
  <c r="EH26" i="17"/>
  <c r="EI12" i="17"/>
  <c r="EH11" i="17"/>
  <c r="EF28" i="17"/>
  <c r="FB27" i="17"/>
  <c r="EI11" i="17"/>
  <c r="EJ12" i="17"/>
  <c r="EI26" i="17"/>
  <c r="FA21" i="17"/>
  <c r="EZ21" i="17"/>
  <c r="FB24" i="17"/>
  <c r="FB13" i="17"/>
  <c r="EG29" i="17"/>
  <c r="EG14" i="17"/>
  <c r="FB14" i="17" s="1"/>
  <c r="FB12" i="17"/>
  <c r="FB22" i="17"/>
  <c r="EU22" i="17"/>
  <c r="EG26" i="17"/>
  <c r="FB26" i="17" s="1"/>
  <c r="EH12" i="17"/>
  <c r="EG11" i="17"/>
  <c r="FB11" i="17" s="1"/>
  <c r="FB9" i="17"/>
  <c r="CK20" i="17"/>
  <c r="CL20" i="17"/>
  <c r="EI28" i="17" l="1"/>
  <c r="EH28" i="17"/>
  <c r="EV10" i="17"/>
  <c r="EB13" i="17"/>
  <c r="EA27" i="17"/>
  <c r="EV27" i="17" s="1"/>
  <c r="EI29" i="17"/>
  <c r="EI31" i="17" s="1"/>
  <c r="EI14" i="17"/>
  <c r="DZ13" i="17"/>
  <c r="DZ12" i="17"/>
  <c r="FA8" i="17"/>
  <c r="EZ8" i="17"/>
  <c r="EZ6" i="17"/>
  <c r="FA6" i="17"/>
  <c r="EA12" i="17"/>
  <c r="DZ26" i="17"/>
  <c r="DZ11" i="17"/>
  <c r="EU9" i="17"/>
  <c r="EB12" i="17"/>
  <c r="EV9" i="17"/>
  <c r="EA26" i="17"/>
  <c r="EA11" i="17"/>
  <c r="EV11" i="17" s="1"/>
  <c r="DZ27" i="17"/>
  <c r="EA13" i="17"/>
  <c r="EA30" i="17" s="1"/>
  <c r="EU10" i="17"/>
  <c r="EU23" i="17"/>
  <c r="DZ25" i="17"/>
  <c r="EU25" i="17" s="1"/>
  <c r="EH29" i="17"/>
  <c r="EH31" i="17" s="1"/>
  <c r="EH14" i="17"/>
  <c r="EJ29" i="17"/>
  <c r="EJ31" i="17" s="1"/>
  <c r="EJ14" i="17"/>
  <c r="EG28" i="17"/>
  <c r="FB28" i="17" s="1"/>
  <c r="FA24" i="17"/>
  <c r="EZ24" i="17"/>
  <c r="FB29" i="17"/>
  <c r="EG31" i="17"/>
  <c r="FB31" i="17" s="1"/>
  <c r="FA22" i="17"/>
  <c r="EZ22" i="17"/>
  <c r="H36" i="21"/>
  <c r="FA7" i="17"/>
  <c r="EZ7" i="17"/>
  <c r="EU27" i="17" l="1"/>
  <c r="EA14" i="17"/>
  <c r="EA29" i="17"/>
  <c r="EV12" i="17"/>
  <c r="DZ29" i="17"/>
  <c r="DZ14" i="17"/>
  <c r="EU12" i="17"/>
  <c r="EA28" i="17"/>
  <c r="EV28" i="17" s="1"/>
  <c r="EV26" i="17"/>
  <c r="DZ30" i="17"/>
  <c r="EU13" i="17"/>
  <c r="FA10" i="17"/>
  <c r="EZ10" i="17"/>
  <c r="EB29" i="17"/>
  <c r="EW12" i="17"/>
  <c r="EB14" i="17"/>
  <c r="EW14" i="17" s="1"/>
  <c r="FA25" i="17"/>
  <c r="H37" i="21"/>
  <c r="EZ25" i="17"/>
  <c r="EZ9" i="17"/>
  <c r="FA9" i="17"/>
  <c r="EZ23" i="17"/>
  <c r="FA23" i="17"/>
  <c r="EU11" i="17"/>
  <c r="EV13" i="17"/>
  <c r="EW13" i="17"/>
  <c r="EB30" i="17"/>
  <c r="EW30" i="17" s="1"/>
  <c r="FA27" i="17"/>
  <c r="EZ27" i="17"/>
  <c r="DZ28" i="17"/>
  <c r="EU26" i="17"/>
  <c r="EU30" i="17" l="1"/>
  <c r="FA30" i="17" s="1"/>
  <c r="EU14" i="17"/>
  <c r="EV30" i="17"/>
  <c r="EZ11" i="17"/>
  <c r="FA11" i="17"/>
  <c r="EZ30" i="17"/>
  <c r="FA12" i="17"/>
  <c r="EZ12" i="17"/>
  <c r="DZ31" i="17"/>
  <c r="EU29" i="17"/>
  <c r="FA13" i="17"/>
  <c r="EZ13" i="17"/>
  <c r="EU28" i="17"/>
  <c r="EW29" i="17"/>
  <c r="EB31" i="17"/>
  <c r="EW31" i="17" s="1"/>
  <c r="EA31" i="17"/>
  <c r="EV29" i="17"/>
  <c r="FA26" i="17"/>
  <c r="EZ26" i="17"/>
  <c r="EV14" i="17"/>
  <c r="EU31" i="17" l="1"/>
  <c r="EZ31" i="17" s="1"/>
  <c r="FA14" i="17"/>
  <c r="EZ14" i="17"/>
  <c r="EV31" i="17"/>
  <c r="FA28" i="17"/>
  <c r="H38" i="21"/>
  <c r="EZ28" i="17"/>
  <c r="EZ29" i="17"/>
  <c r="FA29" i="17"/>
  <c r="FA31" i="17" l="1"/>
  <c r="H39" i="21"/>
</calcChain>
</file>

<file path=xl/sharedStrings.xml><?xml version="1.0" encoding="utf-8"?>
<sst xmlns="http://schemas.openxmlformats.org/spreadsheetml/2006/main" count="1348" uniqueCount="438">
  <si>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</si>
  <si>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</si>
  <si>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</si>
  <si>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</si>
  <si>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</si>
  <si>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</si>
  <si>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</si>
  <si>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</si>
  <si>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</si>
  <si>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</si>
  <si>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</si>
  <si>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</si>
  <si>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</si>
  <si>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</si>
  <si>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</si>
  <si>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</si>
  <si>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</si>
  <si>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</si>
  <si>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</si>
  <si>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</si>
  <si>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</si>
  <si>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</si>
  <si>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</si>
  <si>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</si>
  <si>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</si>
  <si>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</si>
  <si>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</si>
  <si>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</si>
  <si>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</si>
  <si>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</si>
  <si>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</si>
  <si>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</si>
  <si>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</si>
  <si>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</si>
  <si>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</si>
  <si>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</si>
  <si>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</si>
  <si>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</si>
  <si>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</si>
  <si>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</si>
  <si>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</si>
  <si>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</si>
  <si>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</si>
  <si>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</si>
  <si>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</si>
  <si>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</si>
  <si>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</si>
  <si>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</si>
  <si>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</si>
  <si>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</si>
  <si>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</si>
  <si>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</si>
  <si>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</si>
  <si>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</si>
  <si>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</si>
  <si>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</si>
  <si>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</si>
  <si>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</si>
  <si>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</si>
  <si>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</si>
  <si>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</si>
  <si>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</si>
  <si>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</si>
  <si>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</si>
  <si>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</si>
  <si>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</si>
  <si>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</si>
  <si>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</si>
  <si>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</si>
  <si>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</si>
  <si>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</si>
  <si>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</si>
  <si>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</si>
  <si>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</si>
  <si>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</si>
  <si>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</si>
  <si>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</si>
  <si>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</si>
  <si>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</si>
  <si>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</si>
  <si>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</si>
  <si>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</si>
  <si>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</si>
  <si>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</si>
  <si>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</si>
  <si>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</si>
  <si>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</si>
  <si>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</si>
  <si>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</si>
  <si>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</si>
  <si>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</si>
  <si>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</si>
  <si>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</si>
  <si>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</si>
  <si>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</si>
  <si>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</si>
  <si>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</si>
  <si>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</si>
  <si>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</si>
  <si>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</si>
  <si>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</si>
  <si>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</si>
  <si>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</si>
  <si>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</si>
  <si>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</si>
  <si>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</si>
  <si>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</si>
  <si>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</si>
  <si>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</si>
  <si>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</si>
  <si>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</si>
  <si>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</si>
  <si>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</si>
  <si>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</si>
  <si>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</si>
  <si>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</si>
  <si>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</si>
  <si>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</si>
  <si>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</si>
  <si>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</si>
  <si>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</si>
  <si>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</si>
  <si>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</si>
  <si>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</si>
  <si>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</si>
  <si>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</si>
  <si>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</si>
  <si>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</si>
  <si>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</si>
  <si>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</si>
  <si>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</si>
  <si>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</si>
  <si>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</si>
  <si>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</si>
  <si>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</si>
  <si>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</si>
  <si>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</si>
  <si>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</si>
  <si>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</si>
  <si>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</si>
  <si>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</si>
  <si>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</si>
  <si>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</si>
  <si>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</si>
  <si>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</si>
  <si>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</si>
  <si>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</si>
  <si>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</si>
  <si>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</si>
  <si>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</si>
  <si>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</si>
  <si>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</si>
  <si>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</si>
  <si>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</si>
  <si>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</si>
  <si>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</si>
  <si>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</si>
  <si>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</si>
  <si>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</si>
  <si>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</si>
  <si>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</si>
  <si>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</si>
  <si>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</si>
  <si>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</si>
  <si>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</si>
  <si>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</si>
  <si>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</si>
  <si>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</si>
  <si>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</si>
  <si>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</si>
  <si>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</si>
  <si>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</si>
  <si>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</si>
  <si>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</si>
  <si>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</si>
  <si>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</si>
  <si>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</si>
  <si>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</si>
  <si>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</si>
  <si>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</si>
  <si>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</si>
  <si>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</si>
  <si>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</si>
  <si>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</si>
  <si>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</si>
  <si>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</si>
  <si>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</si>
  <si>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</si>
  <si>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</si>
  <si>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</si>
  <si>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</si>
  <si>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</si>
  <si>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</si>
  <si>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</si>
  <si>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</si>
  <si>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</si>
  <si>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</si>
  <si>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</si>
  <si>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</si>
  <si>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</si>
  <si>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</si>
  <si>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</si>
  <si>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</si>
  <si>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</si>
  <si>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</si>
  <si>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</si>
  <si>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</si>
  <si>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</si>
  <si>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</si>
  <si>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</si>
  <si>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</si>
  <si>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</si>
  <si>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</si>
  <si>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</si>
  <si>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</si>
  <si>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</si>
  <si>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</si>
  <si>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</si>
  <si>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</si>
  <si>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</si>
  <si>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</si>
  <si>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</si>
  <si>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</si>
  <si>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</si>
  <si>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</si>
  <si>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</si>
  <si>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</si>
  <si>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</si>
  <si>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</si>
  <si>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</si>
  <si>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</si>
  <si>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</si>
  <si>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</si>
  <si>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</si>
  <si>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</si>
  <si>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</si>
  <si>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</si>
  <si>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</si>
  <si>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</si>
  <si>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</si>
  <si>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</si>
  <si>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</si>
  <si>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</si>
  <si>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</si>
  <si>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</si>
  <si>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</si>
  <si>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</si>
  <si>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</si>
  <si>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</si>
  <si>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</si>
  <si>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</si>
  <si>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</si>
  <si>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</si>
  <si>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</si>
  <si>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</si>
  <si>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</si>
  <si>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</si>
  <si>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</si>
  <si>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</si>
  <si>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</si>
  <si>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</si>
  <si>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</si>
  <si>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</si>
  <si>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</si>
  <si>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</si>
  <si>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</si>
  <si>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</si>
  <si>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</si>
  <si>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</si>
  <si>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</si>
  <si>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</si>
  <si>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</si>
  <si>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</si>
  <si>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</si>
  <si>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</si>
  <si>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</si>
  <si>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</si>
  <si>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</si>
  <si>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</si>
  <si>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</si>
  <si>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</si>
  <si>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</si>
  <si>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</si>
  <si>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</si>
  <si>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</si>
  <si>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</si>
  <si>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</si>
  <si>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</si>
  <si>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</si>
  <si>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</si>
  <si>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</si>
  <si>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</si>
  <si>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</si>
  <si>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</si>
  <si>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</si>
  <si>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</si>
  <si>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</si>
  <si>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</si>
  <si>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</si>
  <si>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</si>
  <si>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</si>
  <si>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</si>
  <si>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</si>
  <si>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</si>
  <si>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</si>
  <si>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</si>
  <si>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</si>
  <si>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</si>
  <si>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</si>
  <si>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</si>
  <si>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</si>
  <si>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</si>
  <si>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</si>
  <si>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</si>
  <si>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</si>
  <si>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</si>
  <si>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</si>
  <si>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</si>
  <si>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</si>
  <si>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</si>
  <si>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</si>
  <si>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</si>
  <si>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</si>
  <si>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</si>
  <si>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</si>
  <si>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</si>
  <si>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</si>
  <si>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</si>
  <si>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</si>
  <si>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</si>
  <si>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</si>
  <si>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</si>
  <si>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</si>
  <si>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</si>
  <si>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</si>
  <si>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</si>
  <si>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</si>
  <si>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</si>
  <si>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</si>
  <si>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</si>
  <si>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</si>
  <si>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</si>
  <si>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</si>
  <si>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</si>
  <si>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</si>
  <si>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</si>
  <si>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</si>
  <si>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</si>
  <si>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</si>
  <si>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</si>
  <si>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</si>
  <si>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</si>
  <si>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</si>
  <si>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</si>
  <si>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</si>
  <si>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</si>
  <si>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</si>
  <si>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</si>
  <si>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</si>
  <si>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</si>
  <si>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</si>
  <si>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</si>
  <si>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</si>
  <si>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</si>
  <si>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</si>
  <si>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</si>
  <si>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</si>
  <si>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</si>
  <si>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</si>
  <si>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</si>
  <si>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</si>
  <si>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</si>
  <si>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</si>
  <si>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</si>
  <si>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</si>
  <si>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</si>
  <si>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</si>
  <si>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</si>
  <si>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</si>
  <si>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</si>
  <si>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</si>
  <si>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</si>
  <si>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</si>
  <si>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</si>
  <si>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</si>
  <si>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</si>
  <si>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</si>
  <si>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</si>
  <si>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</si>
  <si>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</si>
  <si>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</si>
  <si>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</si>
  <si>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</si>
  <si>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</si>
  <si>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</si>
  <si>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</si>
  <si>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</si>
  <si>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</si>
  <si>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</si>
  <si>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</si>
  <si>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</si>
  <si>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</si>
  <si>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</si>
  <si>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</si>
  <si>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</si>
  <si>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</si>
  <si>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</si>
  <si>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</si>
  <si>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</si>
  <si>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</si>
  <si>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</si>
  <si>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</si>
  <si>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</si>
  <si>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</si>
  <si>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</si>
  <si>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</si>
  <si>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</si>
  <si>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</si>
  <si>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</si>
  <si>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</si>
  <si>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</si>
  <si>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</si>
  <si>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</si>
  <si>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</si>
  <si>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</si>
  <si>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</si>
  <si>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</si>
  <si>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</si>
  <si>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</si>
  <si>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45406_1</t>
  </si>
  <si>
    <t>都農町</t>
    <rPh sb="0" eb="2">
      <t>ツノ</t>
    </rPh>
    <rPh sb="2" eb="3">
      <t>チョウ</t>
    </rPh>
    <phoneticPr fontId="1"/>
  </si>
  <si>
    <t>都農小学校区</t>
  </si>
  <si>
    <t>45406_2</t>
  </si>
  <si>
    <t>都農南小学校区</t>
  </si>
  <si>
    <t>45406_3</t>
  </si>
  <si>
    <t>都農東小学校区</t>
  </si>
  <si>
    <t>45406_1</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</si>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</sst>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283</c:v>
                </c:pt>
                <c:pt idx="1">
                  <c:v>253</c:v>
                </c:pt>
                <c:pt idx="2">
                  <c:v>225</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3974392"/>
        <c:axId val="393971256"/>
      </c:barChart>
      <c:catAx>
        <c:axId val="393974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71256"/>
        <c:crosses val="autoZero"/>
        <c:auto val="1"/>
        <c:lblAlgn val="ctr"/>
        <c:lblOffset val="100"/>
        <c:noMultiLvlLbl val="0"/>
      </c:catAx>
      <c:valAx>
        <c:axId val="3939712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743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148</c:v>
                </c:pt>
                <c:pt idx="1">
                  <c:v>137</c:v>
                </c:pt>
                <c:pt idx="2">
                  <c:v>111</c:v>
                </c:pt>
                <c:pt idx="3">
                  <c:v>107</c:v>
                </c:pt>
                <c:pt idx="4">
                  <c:v>110</c:v>
                </c:pt>
                <c:pt idx="5">
                  <c:v>105</c:v>
                </c:pt>
                <c:pt idx="6">
                  <c:v>97</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3972824"/>
        <c:axId val="393973608"/>
      </c:barChart>
      <c:catAx>
        <c:axId val="393972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73608"/>
        <c:crosses val="autoZero"/>
        <c:auto val="1"/>
        <c:lblAlgn val="ctr"/>
        <c:lblOffset val="100"/>
        <c:noMultiLvlLbl val="0"/>
      </c:catAx>
      <c:valAx>
        <c:axId val="3939736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728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0.32</c:v>
                </c:pt>
                <c:pt idx="1">
                  <c:v>0.36</c:v>
                </c:pt>
                <c:pt idx="2">
                  <c:v>0.39</c:v>
                </c:pt>
                <c:pt idx="3">
                  <c:v>0.4</c:v>
                </c:pt>
                <c:pt idx="4">
                  <c:v>0.39</c:v>
                </c:pt>
                <c:pt idx="5">
                  <c:v>0.38</c:v>
                </c:pt>
                <c:pt idx="6">
                  <c:v>0.39</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0200744"/>
        <c:axId val="460201136"/>
      </c:barChart>
      <c:catAx>
        <c:axId val="460200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1136"/>
        <c:crosses val="autoZero"/>
        <c:auto val="1"/>
        <c:lblAlgn val="ctr"/>
        <c:lblOffset val="100"/>
        <c:noMultiLvlLbl val="0"/>
      </c:catAx>
      <c:valAx>
        <c:axId val="4602011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07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0.18</c:v>
                </c:pt>
                <c:pt idx="1">
                  <c:v>0.19</c:v>
                </c:pt>
                <c:pt idx="2">
                  <c:v>0.21</c:v>
                </c:pt>
                <c:pt idx="3">
                  <c:v>0.24</c:v>
                </c:pt>
                <c:pt idx="4">
                  <c:v>0.26</c:v>
                </c:pt>
                <c:pt idx="5">
                  <c:v>0.26</c:v>
                </c:pt>
                <c:pt idx="6">
                  <c:v>0.24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0203488"/>
        <c:axId val="460204664"/>
      </c:barChart>
      <c:catAx>
        <c:axId val="460203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4664"/>
        <c:crosses val="autoZero"/>
        <c:auto val="1"/>
        <c:lblAlgn val="ctr"/>
        <c:lblOffset val="100"/>
        <c:noMultiLvlLbl val="0"/>
      </c:catAx>
      <c:valAx>
        <c:axId val="4602046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34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8433236448978827E-7"/>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405-45B2-BD2A-8D3F35532BDB}"/>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405-45B2-BD2A-8D3F35532BD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87</c:v>
                </c:pt>
                <c:pt idx="1">
                  <c:v>104</c:v>
                </c:pt>
                <c:pt idx="2">
                  <c:v>117</c:v>
                </c:pt>
                <c:pt idx="3">
                  <c:v>72</c:v>
                </c:pt>
                <c:pt idx="4">
                  <c:v>52</c:v>
                </c:pt>
                <c:pt idx="5">
                  <c:v>54</c:v>
                </c:pt>
                <c:pt idx="6">
                  <c:v>85</c:v>
                </c:pt>
                <c:pt idx="7">
                  <c:v>84</c:v>
                </c:pt>
                <c:pt idx="8">
                  <c:v>102</c:v>
                </c:pt>
                <c:pt idx="9">
                  <c:v>119</c:v>
                </c:pt>
                <c:pt idx="10">
                  <c:v>128</c:v>
                </c:pt>
                <c:pt idx="11">
                  <c:v>129</c:v>
                </c:pt>
                <c:pt idx="12">
                  <c:v>110</c:v>
                </c:pt>
                <c:pt idx="13">
                  <c:v>115</c:v>
                </c:pt>
                <c:pt idx="14">
                  <c:v>141</c:v>
                </c:pt>
                <c:pt idx="15">
                  <c:v>144</c:v>
                </c:pt>
                <c:pt idx="16">
                  <c:v>129</c:v>
                </c:pt>
                <c:pt idx="17">
                  <c:v>75</c:v>
                </c:pt>
                <c:pt idx="18">
                  <c:v>28</c:v>
                </c:pt>
                <c:pt idx="19">
                  <c:v>12</c:v>
                </c:pt>
                <c:pt idx="20">
                  <c:v>3</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0201920"/>
        <c:axId val="46019956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63</c:v>
                </c:pt>
                <c:pt idx="1">
                  <c:v>75</c:v>
                </c:pt>
                <c:pt idx="2">
                  <c:v>79</c:v>
                </c:pt>
                <c:pt idx="3">
                  <c:v>87</c:v>
                </c:pt>
                <c:pt idx="4">
                  <c:v>47</c:v>
                </c:pt>
                <c:pt idx="5">
                  <c:v>67</c:v>
                </c:pt>
                <c:pt idx="6">
                  <c:v>73</c:v>
                </c:pt>
                <c:pt idx="7">
                  <c:v>99</c:v>
                </c:pt>
                <c:pt idx="8">
                  <c:v>88</c:v>
                </c:pt>
                <c:pt idx="9">
                  <c:v>108</c:v>
                </c:pt>
                <c:pt idx="10">
                  <c:v>129</c:v>
                </c:pt>
                <c:pt idx="11">
                  <c:v>138</c:v>
                </c:pt>
                <c:pt idx="12">
                  <c:v>137</c:v>
                </c:pt>
                <c:pt idx="13">
                  <c:v>116</c:v>
                </c:pt>
                <c:pt idx="14">
                  <c:v>148</c:v>
                </c:pt>
                <c:pt idx="15">
                  <c:v>190</c:v>
                </c:pt>
                <c:pt idx="16">
                  <c:v>199</c:v>
                </c:pt>
                <c:pt idx="17">
                  <c:v>118</c:v>
                </c:pt>
                <c:pt idx="18">
                  <c:v>74</c:v>
                </c:pt>
                <c:pt idx="19">
                  <c:v>42</c:v>
                </c:pt>
                <c:pt idx="20">
                  <c:v>7</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0203096"/>
        <c:axId val="460199960"/>
      </c:barChart>
      <c:catAx>
        <c:axId val="4602019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99568"/>
        <c:crosses val="autoZero"/>
        <c:auto val="1"/>
        <c:lblAlgn val="ctr"/>
        <c:lblOffset val="100"/>
        <c:noMultiLvlLbl val="0"/>
      </c:catAx>
      <c:valAx>
        <c:axId val="46019956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1920"/>
        <c:crosses val="autoZero"/>
        <c:crossBetween val="between"/>
        <c:majorUnit val="150"/>
      </c:valAx>
      <c:valAx>
        <c:axId val="46019996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3096"/>
        <c:crosses val="max"/>
        <c:crossBetween val="between"/>
        <c:majorUnit val="150"/>
      </c:valAx>
      <c:catAx>
        <c:axId val="460203096"/>
        <c:scaling>
          <c:orientation val="minMax"/>
        </c:scaling>
        <c:delete val="1"/>
        <c:axPos val="l"/>
        <c:numFmt formatCode="General" sourceLinked="1"/>
        <c:majorTickMark val="out"/>
        <c:minorTickMark val="none"/>
        <c:tickLblPos val="nextTo"/>
        <c:crossAx val="4601999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2.1764751765086052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E2A-4CFE-A0CB-38854CA9111C}"/>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E2A-4CFE-A0CB-38854CA9111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70</c:v>
                </c:pt>
                <c:pt idx="1">
                  <c:v>85</c:v>
                </c:pt>
                <c:pt idx="2">
                  <c:v>100</c:v>
                </c:pt>
                <c:pt idx="3">
                  <c:v>86</c:v>
                </c:pt>
                <c:pt idx="4">
                  <c:v>62</c:v>
                </c:pt>
                <c:pt idx="5">
                  <c:v>48</c:v>
                </c:pt>
                <c:pt idx="6">
                  <c:v>56</c:v>
                </c:pt>
                <c:pt idx="7">
                  <c:v>59</c:v>
                </c:pt>
                <c:pt idx="8">
                  <c:v>89</c:v>
                </c:pt>
                <c:pt idx="9">
                  <c:v>93</c:v>
                </c:pt>
                <c:pt idx="10">
                  <c:v>110</c:v>
                </c:pt>
                <c:pt idx="11">
                  <c:v>115</c:v>
                </c:pt>
                <c:pt idx="12">
                  <c:v>117</c:v>
                </c:pt>
                <c:pt idx="13">
                  <c:v>123</c:v>
                </c:pt>
                <c:pt idx="14">
                  <c:v>100</c:v>
                </c:pt>
                <c:pt idx="15">
                  <c:v>91</c:v>
                </c:pt>
                <c:pt idx="16">
                  <c:v>102</c:v>
                </c:pt>
                <c:pt idx="17">
                  <c:v>72</c:v>
                </c:pt>
                <c:pt idx="18">
                  <c:v>32</c:v>
                </c:pt>
                <c:pt idx="19">
                  <c:v>13</c:v>
                </c:pt>
                <c:pt idx="20">
                  <c:v>3</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0198392"/>
        <c:axId val="46020152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51</c:v>
                </c:pt>
                <c:pt idx="1">
                  <c:v>61</c:v>
                </c:pt>
                <c:pt idx="2">
                  <c:v>68</c:v>
                </c:pt>
                <c:pt idx="3">
                  <c:v>65</c:v>
                </c:pt>
                <c:pt idx="4">
                  <c:v>42</c:v>
                </c:pt>
                <c:pt idx="5">
                  <c:v>57</c:v>
                </c:pt>
                <c:pt idx="6">
                  <c:v>53</c:v>
                </c:pt>
                <c:pt idx="7">
                  <c:v>78</c:v>
                </c:pt>
                <c:pt idx="8">
                  <c:v>78</c:v>
                </c:pt>
                <c:pt idx="9">
                  <c:v>106</c:v>
                </c:pt>
                <c:pt idx="10">
                  <c:v>99</c:v>
                </c:pt>
                <c:pt idx="11">
                  <c:v>106</c:v>
                </c:pt>
                <c:pt idx="12">
                  <c:v>126</c:v>
                </c:pt>
                <c:pt idx="13">
                  <c:v>140</c:v>
                </c:pt>
                <c:pt idx="14">
                  <c:v>132</c:v>
                </c:pt>
                <c:pt idx="15">
                  <c:v>106</c:v>
                </c:pt>
                <c:pt idx="16">
                  <c:v>124</c:v>
                </c:pt>
                <c:pt idx="17">
                  <c:v>138</c:v>
                </c:pt>
                <c:pt idx="18">
                  <c:v>97</c:v>
                </c:pt>
                <c:pt idx="19">
                  <c:v>31</c:v>
                </c:pt>
                <c:pt idx="20">
                  <c:v>7</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0204272"/>
        <c:axId val="460202312"/>
      </c:barChart>
      <c:catAx>
        <c:axId val="4601983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1528"/>
        <c:crosses val="autoZero"/>
        <c:auto val="1"/>
        <c:lblAlgn val="ctr"/>
        <c:lblOffset val="100"/>
        <c:noMultiLvlLbl val="0"/>
      </c:catAx>
      <c:valAx>
        <c:axId val="46020152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98392"/>
        <c:crosses val="autoZero"/>
        <c:crossBetween val="between"/>
        <c:majorUnit val="150"/>
      </c:valAx>
      <c:valAx>
        <c:axId val="46020231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4272"/>
        <c:crosses val="max"/>
        <c:crossBetween val="between"/>
        <c:majorUnit val="150"/>
      </c:valAx>
      <c:catAx>
        <c:axId val="460204272"/>
        <c:scaling>
          <c:orientation val="minMax"/>
        </c:scaling>
        <c:delete val="1"/>
        <c:axPos val="l"/>
        <c:numFmt formatCode="General" sourceLinked="1"/>
        <c:majorTickMark val="out"/>
        <c:minorTickMark val="none"/>
        <c:tickLblPos val="nextTo"/>
        <c:crossAx val="4602023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4933</c:v>
                </c:pt>
                <c:pt idx="1">
                  <c:v>4633</c:v>
                </c:pt>
                <c:pt idx="2">
                  <c:v>4492</c:v>
                </c:pt>
                <c:pt idx="3">
                  <c:v>4240</c:v>
                </c:pt>
                <c:pt idx="4">
                  <c:v>3974</c:v>
                </c:pt>
                <c:pt idx="5">
                  <c:v>3680</c:v>
                </c:pt>
                <c:pt idx="6">
                  <c:v>3391</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E7B-4AE3-8BC3-F841DEA91F99}"/>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E7B-4AE3-8BC3-F841DEA91F99}"/>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E7B-4AE3-8BC3-F841DEA91F99}"/>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E7B-4AE3-8BC3-F841DEA91F9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4249</c:v>
                </c:pt>
                <c:pt idx="4" formatCode="#,##0_);[Red]\(#,##0\)">
                  <c:v>3994</c:v>
                </c:pt>
                <c:pt idx="5" formatCode="#,##0_);[Red]\(#,##0\)">
                  <c:v>3716</c:v>
                </c:pt>
                <c:pt idx="6" formatCode="#,##0_);[Red]\(#,##0\)">
                  <c:v>3435</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0198000"/>
        <c:axId val="460198784"/>
      </c:barChart>
      <c:catAx>
        <c:axId val="460198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98784"/>
        <c:crosses val="autoZero"/>
        <c:auto val="1"/>
        <c:lblAlgn val="ctr"/>
        <c:lblOffset val="100"/>
        <c:noMultiLvlLbl val="0"/>
      </c:catAx>
      <c:valAx>
        <c:axId val="4601987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9800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283</c:v>
                </c:pt>
                <c:pt idx="1">
                  <c:v>253</c:v>
                </c:pt>
                <c:pt idx="2">
                  <c:v>225</c:v>
                </c:pt>
                <c:pt idx="3">
                  <c:v>229</c:v>
                </c:pt>
                <c:pt idx="4">
                  <c:v>224</c:v>
                </c:pt>
                <c:pt idx="5">
                  <c:v>208</c:v>
                </c:pt>
                <c:pt idx="6">
                  <c:v>188</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230</c:v>
                </c:pt>
                <c:pt idx="4">
                  <c:v>227</c:v>
                </c:pt>
                <c:pt idx="5">
                  <c:v>213</c:v>
                </c:pt>
                <c:pt idx="6">
                  <c:v>196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0200352"/>
        <c:axId val="460967424"/>
      </c:barChart>
      <c:catAx>
        <c:axId val="460200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67424"/>
        <c:crosses val="autoZero"/>
        <c:auto val="1"/>
        <c:lblAlgn val="ctr"/>
        <c:lblOffset val="100"/>
        <c:noMultiLvlLbl val="0"/>
      </c:catAx>
      <c:valAx>
        <c:axId val="4609674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0352"/>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0.32</c:v>
                </c:pt>
                <c:pt idx="1">
                  <c:v>0.36</c:v>
                </c:pt>
                <c:pt idx="2">
                  <c:v>0.39</c:v>
                </c:pt>
                <c:pt idx="3">
                  <c:v>0.4</c:v>
                </c:pt>
                <c:pt idx="4">
                  <c:v>0.39</c:v>
                </c:pt>
                <c:pt idx="5">
                  <c:v>0.38</c:v>
                </c:pt>
                <c:pt idx="6">
                  <c:v>0.39</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29D-4E27-BFA0-7C3D658B815A}"/>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A29D-4E27-BFA0-7C3D658B815A}"/>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A29D-4E27-BFA0-7C3D658B815A}"/>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29D-4E27-BFA0-7C3D658B815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c:v>
                </c:pt>
                <c:pt idx="4" formatCode="0%">
                  <c:v>0.39</c:v>
                </c:pt>
                <c:pt idx="5" formatCode="0%">
                  <c:v>0.38</c:v>
                </c:pt>
                <c:pt idx="6" formatCode="0%">
                  <c:v>0.38</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0967816"/>
        <c:axId val="460968600"/>
      </c:barChart>
      <c:catAx>
        <c:axId val="460967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68600"/>
        <c:crosses val="autoZero"/>
        <c:auto val="1"/>
        <c:lblAlgn val="ctr"/>
        <c:lblOffset val="100"/>
        <c:noMultiLvlLbl val="0"/>
      </c:catAx>
      <c:valAx>
        <c:axId val="4609686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6781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0.18</c:v>
                </c:pt>
                <c:pt idx="1">
                  <c:v>0.19</c:v>
                </c:pt>
                <c:pt idx="2">
                  <c:v>0.21</c:v>
                </c:pt>
                <c:pt idx="3">
                  <c:v>0.24</c:v>
                </c:pt>
                <c:pt idx="4">
                  <c:v>0.26</c:v>
                </c:pt>
                <c:pt idx="5">
                  <c:v>0.26</c:v>
                </c:pt>
                <c:pt idx="6">
                  <c:v>0.24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A90-4116-B5E9-2800D5D20A6F}"/>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A90-4116-B5E9-2800D5D20A6F}"/>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A90-4116-B5E9-2800D5D20A6F}"/>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A90-4116-B5E9-2800D5D20A6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0.24</c:v>
                </c:pt>
                <c:pt idx="4" formatCode="0%">
                  <c:v>0.26</c:v>
                </c:pt>
                <c:pt idx="5" formatCode="0%">
                  <c:v>0.26</c:v>
                </c:pt>
                <c:pt idx="6" formatCode="0%">
                  <c:v>0.24</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0963896"/>
        <c:axId val="460971344"/>
      </c:barChart>
      <c:catAx>
        <c:axId val="460963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71344"/>
        <c:crosses val="autoZero"/>
        <c:auto val="1"/>
        <c:lblAlgn val="ctr"/>
        <c:lblOffset val="100"/>
        <c:noMultiLvlLbl val="0"/>
      </c:catAx>
      <c:valAx>
        <c:axId val="460971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638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148</c:v>
                </c:pt>
                <c:pt idx="1">
                  <c:v>137</c:v>
                </c:pt>
                <c:pt idx="2">
                  <c:v>111</c:v>
                </c:pt>
                <c:pt idx="3">
                  <c:v>107</c:v>
                </c:pt>
                <c:pt idx="4">
                  <c:v>110</c:v>
                </c:pt>
                <c:pt idx="5">
                  <c:v>105</c:v>
                </c:pt>
                <c:pt idx="6">
                  <c:v>97</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108</c:v>
                </c:pt>
                <c:pt idx="4">
                  <c:v>111</c:v>
                </c:pt>
                <c:pt idx="5">
                  <c:v>107</c:v>
                </c:pt>
                <c:pt idx="6">
                  <c:v>101</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0964288"/>
        <c:axId val="460965464"/>
      </c:barChart>
      <c:catAx>
        <c:axId val="460964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65464"/>
        <c:crosses val="autoZero"/>
        <c:auto val="1"/>
        <c:lblAlgn val="ctr"/>
        <c:lblOffset val="100"/>
        <c:noMultiLvlLbl val="0"/>
      </c:catAx>
      <c:valAx>
        <c:axId val="4609654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6428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148</c:v>
                </c:pt>
                <c:pt idx="1">
                  <c:v>137</c:v>
                </c:pt>
                <c:pt idx="2">
                  <c:v>111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3968904"/>
        <c:axId val="393971648"/>
      </c:barChart>
      <c:catAx>
        <c:axId val="393968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71648"/>
        <c:crosses val="autoZero"/>
        <c:auto val="1"/>
        <c:lblAlgn val="ctr"/>
        <c:lblOffset val="100"/>
        <c:noMultiLvlLbl val="0"/>
      </c:catAx>
      <c:valAx>
        <c:axId val="3939716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68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14530039019278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0A7-480D-A027-1A8A74CF2C11}"/>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0A7-480D-A027-1A8A74CF2C1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89</c:v>
                </c:pt>
                <c:pt idx="1">
                  <c:v>105</c:v>
                </c:pt>
                <c:pt idx="2">
                  <c:v>118</c:v>
                </c:pt>
                <c:pt idx="3">
                  <c:v>72</c:v>
                </c:pt>
                <c:pt idx="4">
                  <c:v>52</c:v>
                </c:pt>
                <c:pt idx="5">
                  <c:v>56</c:v>
                </c:pt>
                <c:pt idx="6">
                  <c:v>87</c:v>
                </c:pt>
                <c:pt idx="7">
                  <c:v>84</c:v>
                </c:pt>
                <c:pt idx="8">
                  <c:v>102</c:v>
                </c:pt>
                <c:pt idx="9">
                  <c:v>119</c:v>
                </c:pt>
                <c:pt idx="10">
                  <c:v>128</c:v>
                </c:pt>
                <c:pt idx="11">
                  <c:v>129</c:v>
                </c:pt>
                <c:pt idx="12">
                  <c:v>110</c:v>
                </c:pt>
                <c:pt idx="13">
                  <c:v>115</c:v>
                </c:pt>
                <c:pt idx="14">
                  <c:v>141</c:v>
                </c:pt>
                <c:pt idx="15">
                  <c:v>144</c:v>
                </c:pt>
                <c:pt idx="16">
                  <c:v>129</c:v>
                </c:pt>
                <c:pt idx="17">
                  <c:v>75</c:v>
                </c:pt>
                <c:pt idx="18">
                  <c:v>28</c:v>
                </c:pt>
                <c:pt idx="19">
                  <c:v>12</c:v>
                </c:pt>
                <c:pt idx="20">
                  <c:v>3</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0968992"/>
        <c:axId val="46097056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65</c:v>
                </c:pt>
                <c:pt idx="1">
                  <c:v>76</c:v>
                </c:pt>
                <c:pt idx="2">
                  <c:v>80</c:v>
                </c:pt>
                <c:pt idx="3">
                  <c:v>88</c:v>
                </c:pt>
                <c:pt idx="4">
                  <c:v>47</c:v>
                </c:pt>
                <c:pt idx="5">
                  <c:v>69</c:v>
                </c:pt>
                <c:pt idx="6">
                  <c:v>75</c:v>
                </c:pt>
                <c:pt idx="7">
                  <c:v>99</c:v>
                </c:pt>
                <c:pt idx="8">
                  <c:v>89</c:v>
                </c:pt>
                <c:pt idx="9">
                  <c:v>110</c:v>
                </c:pt>
                <c:pt idx="10">
                  <c:v>129</c:v>
                </c:pt>
                <c:pt idx="11">
                  <c:v>138</c:v>
                </c:pt>
                <c:pt idx="12">
                  <c:v>137</c:v>
                </c:pt>
                <c:pt idx="13">
                  <c:v>116</c:v>
                </c:pt>
                <c:pt idx="14">
                  <c:v>148</c:v>
                </c:pt>
                <c:pt idx="15">
                  <c:v>190</c:v>
                </c:pt>
                <c:pt idx="16">
                  <c:v>199</c:v>
                </c:pt>
                <c:pt idx="17">
                  <c:v>118</c:v>
                </c:pt>
                <c:pt idx="18">
                  <c:v>74</c:v>
                </c:pt>
                <c:pt idx="19">
                  <c:v>42</c:v>
                </c:pt>
                <c:pt idx="20">
                  <c:v>7</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0965072"/>
        <c:axId val="460965856"/>
      </c:barChart>
      <c:catAx>
        <c:axId val="4609689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70560"/>
        <c:crosses val="autoZero"/>
        <c:auto val="1"/>
        <c:lblAlgn val="ctr"/>
        <c:lblOffset val="100"/>
        <c:noMultiLvlLbl val="0"/>
      </c:catAx>
      <c:valAx>
        <c:axId val="46097056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68992"/>
        <c:crosses val="autoZero"/>
        <c:crossBetween val="between"/>
        <c:majorUnit val="150"/>
      </c:valAx>
      <c:valAx>
        <c:axId val="46096585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65072"/>
        <c:crosses val="max"/>
        <c:crossBetween val="between"/>
        <c:majorUnit val="150"/>
      </c:valAx>
      <c:catAx>
        <c:axId val="460965072"/>
        <c:scaling>
          <c:orientation val="minMax"/>
        </c:scaling>
        <c:delete val="1"/>
        <c:axPos val="l"/>
        <c:numFmt formatCode="General" sourceLinked="1"/>
        <c:majorTickMark val="out"/>
        <c:minorTickMark val="none"/>
        <c:tickLblPos val="nextTo"/>
        <c:crossAx val="4609658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2.2428653876472564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9CF-4045-81C4-190552745350}"/>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9CF-4045-81C4-19055274535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73</c:v>
                </c:pt>
                <c:pt idx="1">
                  <c:v>89</c:v>
                </c:pt>
                <c:pt idx="2">
                  <c:v>104</c:v>
                </c:pt>
                <c:pt idx="3">
                  <c:v>87</c:v>
                </c:pt>
                <c:pt idx="4">
                  <c:v>62</c:v>
                </c:pt>
                <c:pt idx="5">
                  <c:v>50</c:v>
                </c:pt>
                <c:pt idx="6">
                  <c:v>58</c:v>
                </c:pt>
                <c:pt idx="7">
                  <c:v>62</c:v>
                </c:pt>
                <c:pt idx="8">
                  <c:v>91</c:v>
                </c:pt>
                <c:pt idx="9">
                  <c:v>93</c:v>
                </c:pt>
                <c:pt idx="10">
                  <c:v>110</c:v>
                </c:pt>
                <c:pt idx="11">
                  <c:v>115</c:v>
                </c:pt>
                <c:pt idx="12">
                  <c:v>117</c:v>
                </c:pt>
                <c:pt idx="13">
                  <c:v>123</c:v>
                </c:pt>
                <c:pt idx="14">
                  <c:v>100</c:v>
                </c:pt>
                <c:pt idx="15">
                  <c:v>91</c:v>
                </c:pt>
                <c:pt idx="16">
                  <c:v>102</c:v>
                </c:pt>
                <c:pt idx="17">
                  <c:v>72</c:v>
                </c:pt>
                <c:pt idx="18">
                  <c:v>32</c:v>
                </c:pt>
                <c:pt idx="19">
                  <c:v>13</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969384"/>
        <c:axId val="46096664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53</c:v>
                </c:pt>
                <c:pt idx="1">
                  <c:v>64</c:v>
                </c:pt>
                <c:pt idx="2">
                  <c:v>71</c:v>
                </c:pt>
                <c:pt idx="3">
                  <c:v>66</c:v>
                </c:pt>
                <c:pt idx="4">
                  <c:v>43</c:v>
                </c:pt>
                <c:pt idx="5">
                  <c:v>59</c:v>
                </c:pt>
                <c:pt idx="6">
                  <c:v>55</c:v>
                </c:pt>
                <c:pt idx="7">
                  <c:v>81</c:v>
                </c:pt>
                <c:pt idx="8">
                  <c:v>81</c:v>
                </c:pt>
                <c:pt idx="9">
                  <c:v>107</c:v>
                </c:pt>
                <c:pt idx="10">
                  <c:v>100</c:v>
                </c:pt>
                <c:pt idx="11">
                  <c:v>107</c:v>
                </c:pt>
                <c:pt idx="12">
                  <c:v>126</c:v>
                </c:pt>
                <c:pt idx="13">
                  <c:v>140</c:v>
                </c:pt>
                <c:pt idx="14">
                  <c:v>132</c:v>
                </c:pt>
                <c:pt idx="15">
                  <c:v>106</c:v>
                </c:pt>
                <c:pt idx="16">
                  <c:v>124</c:v>
                </c:pt>
                <c:pt idx="17">
                  <c:v>138</c:v>
                </c:pt>
                <c:pt idx="18">
                  <c:v>97</c:v>
                </c:pt>
                <c:pt idx="19">
                  <c:v>31</c:v>
                </c:pt>
                <c:pt idx="20">
                  <c:v>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969776"/>
        <c:axId val="460967032"/>
      </c:barChart>
      <c:catAx>
        <c:axId val="4609693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66640"/>
        <c:crosses val="autoZero"/>
        <c:auto val="1"/>
        <c:lblAlgn val="ctr"/>
        <c:lblOffset val="100"/>
        <c:noMultiLvlLbl val="0"/>
      </c:catAx>
      <c:valAx>
        <c:axId val="46096664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69384"/>
        <c:crosses val="autoZero"/>
        <c:crossBetween val="between"/>
        <c:majorUnit val="150"/>
      </c:valAx>
      <c:valAx>
        <c:axId val="46096703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69776"/>
        <c:crosses val="max"/>
        <c:crossBetween val="between"/>
        <c:majorUnit val="150"/>
      </c:valAx>
      <c:catAx>
        <c:axId val="460969776"/>
        <c:scaling>
          <c:orientation val="minMax"/>
        </c:scaling>
        <c:delete val="1"/>
        <c:axPos val="l"/>
        <c:numFmt formatCode="General" sourceLinked="1"/>
        <c:majorTickMark val="out"/>
        <c:minorTickMark val="none"/>
        <c:tickLblPos val="nextTo"/>
        <c:crossAx val="4609670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B9C-48F8-B9F4-2E5E4C5676B2}"/>
                </c:ext>
                <c:ext xmlns:c15="http://schemas.microsoft.com/office/drawing/2012/chart" uri="{CE6537A1-D6FC-4f65-9D91-7224C49458BB}"/>
              </c:extLst>
            </c:dLbl>
            <c:dLbl>
              <c:idx val="20"/>
              <c:layout>
                <c:manualLayout>
                  <c:x val="6.65134197475682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B9C-48F8-B9F4-2E5E4C5676B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150</c:v>
                </c:pt>
                <c:pt idx="1">
                  <c:v>179</c:v>
                </c:pt>
                <c:pt idx="2">
                  <c:v>196</c:v>
                </c:pt>
                <c:pt idx="3">
                  <c:v>159</c:v>
                </c:pt>
                <c:pt idx="4">
                  <c:v>99</c:v>
                </c:pt>
                <c:pt idx="5">
                  <c:v>121</c:v>
                </c:pt>
                <c:pt idx="6">
                  <c:v>158</c:v>
                </c:pt>
                <c:pt idx="7">
                  <c:v>183</c:v>
                </c:pt>
                <c:pt idx="8">
                  <c:v>190</c:v>
                </c:pt>
                <c:pt idx="9">
                  <c:v>227</c:v>
                </c:pt>
                <c:pt idx="10">
                  <c:v>257</c:v>
                </c:pt>
                <c:pt idx="11">
                  <c:v>267</c:v>
                </c:pt>
                <c:pt idx="12">
                  <c:v>247</c:v>
                </c:pt>
                <c:pt idx="13">
                  <c:v>231</c:v>
                </c:pt>
                <c:pt idx="14">
                  <c:v>289</c:v>
                </c:pt>
                <c:pt idx="15">
                  <c:v>334</c:v>
                </c:pt>
                <c:pt idx="16">
                  <c:v>328</c:v>
                </c:pt>
                <c:pt idx="17">
                  <c:v>193</c:v>
                </c:pt>
                <c:pt idx="18">
                  <c:v>102</c:v>
                </c:pt>
                <c:pt idx="19">
                  <c:v>54</c:v>
                </c:pt>
                <c:pt idx="20">
                  <c:v>10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468400"/>
        <c:axId val="46146996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154</c:v>
                </c:pt>
                <c:pt idx="1">
                  <c:v>181</c:v>
                </c:pt>
                <c:pt idx="2">
                  <c:v>198</c:v>
                </c:pt>
                <c:pt idx="3">
                  <c:v>160</c:v>
                </c:pt>
                <c:pt idx="4">
                  <c:v>99</c:v>
                </c:pt>
                <c:pt idx="5">
                  <c:v>125</c:v>
                </c:pt>
                <c:pt idx="6">
                  <c:v>162</c:v>
                </c:pt>
                <c:pt idx="7">
                  <c:v>183</c:v>
                </c:pt>
                <c:pt idx="8">
                  <c:v>191</c:v>
                </c:pt>
                <c:pt idx="9">
                  <c:v>229</c:v>
                </c:pt>
                <c:pt idx="10">
                  <c:v>257</c:v>
                </c:pt>
                <c:pt idx="11">
                  <c:v>267</c:v>
                </c:pt>
                <c:pt idx="12">
                  <c:v>247</c:v>
                </c:pt>
                <c:pt idx="13">
                  <c:v>231</c:v>
                </c:pt>
                <c:pt idx="14">
                  <c:v>289</c:v>
                </c:pt>
                <c:pt idx="15">
                  <c:v>334</c:v>
                </c:pt>
                <c:pt idx="16">
                  <c:v>328</c:v>
                </c:pt>
                <c:pt idx="17">
                  <c:v>193</c:v>
                </c:pt>
                <c:pt idx="18">
                  <c:v>102</c:v>
                </c:pt>
                <c:pt idx="19">
                  <c:v>54</c:v>
                </c:pt>
                <c:pt idx="20">
                  <c:v>10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465656"/>
        <c:axId val="461471144"/>
      </c:barChart>
      <c:catAx>
        <c:axId val="4614684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69968"/>
        <c:crosses val="autoZero"/>
        <c:auto val="1"/>
        <c:lblAlgn val="ctr"/>
        <c:lblOffset val="100"/>
        <c:noMultiLvlLbl val="0"/>
      </c:catAx>
      <c:valAx>
        <c:axId val="46146996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68400"/>
        <c:crosses val="autoZero"/>
        <c:crossBetween val="between"/>
        <c:majorUnit val="250"/>
      </c:valAx>
      <c:valAx>
        <c:axId val="46147114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65656"/>
        <c:crosses val="max"/>
        <c:crossBetween val="between"/>
        <c:majorUnit val="250"/>
      </c:valAx>
      <c:catAx>
        <c:axId val="461465656"/>
        <c:scaling>
          <c:orientation val="minMax"/>
        </c:scaling>
        <c:delete val="1"/>
        <c:axPos val="l"/>
        <c:numFmt formatCode="General" sourceLinked="1"/>
        <c:majorTickMark val="out"/>
        <c:minorTickMark val="none"/>
        <c:tickLblPos val="nextTo"/>
        <c:crossAx val="46147114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957-4618-A309-146064CDC1BF}"/>
                </c:ext>
                <c:ext xmlns:c15="http://schemas.microsoft.com/office/drawing/2012/chart" uri="{CE6537A1-D6FC-4f65-9D91-7224C49458BB}"/>
              </c:extLst>
            </c:dLbl>
            <c:dLbl>
              <c:idx val="20"/>
              <c:layout>
                <c:manualLayout>
                  <c:x val="-2.10982559539507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957-4618-A309-146064CDC1B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121</c:v>
                </c:pt>
                <c:pt idx="1">
                  <c:v>146</c:v>
                </c:pt>
                <c:pt idx="2">
                  <c:v>168</c:v>
                </c:pt>
                <c:pt idx="3">
                  <c:v>151</c:v>
                </c:pt>
                <c:pt idx="4">
                  <c:v>104</c:v>
                </c:pt>
                <c:pt idx="5">
                  <c:v>105</c:v>
                </c:pt>
                <c:pt idx="6">
                  <c:v>109</c:v>
                </c:pt>
                <c:pt idx="7">
                  <c:v>137</c:v>
                </c:pt>
                <c:pt idx="8">
                  <c:v>167</c:v>
                </c:pt>
                <c:pt idx="9">
                  <c:v>199</c:v>
                </c:pt>
                <c:pt idx="10">
                  <c:v>209</c:v>
                </c:pt>
                <c:pt idx="11">
                  <c:v>221</c:v>
                </c:pt>
                <c:pt idx="12">
                  <c:v>243</c:v>
                </c:pt>
                <c:pt idx="13">
                  <c:v>263</c:v>
                </c:pt>
                <c:pt idx="14">
                  <c:v>232</c:v>
                </c:pt>
                <c:pt idx="15">
                  <c:v>197</c:v>
                </c:pt>
                <c:pt idx="16">
                  <c:v>226</c:v>
                </c:pt>
                <c:pt idx="17">
                  <c:v>210</c:v>
                </c:pt>
                <c:pt idx="18">
                  <c:v>129</c:v>
                </c:pt>
                <c:pt idx="19">
                  <c:v>44</c:v>
                </c:pt>
                <c:pt idx="20">
                  <c:v>10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470360"/>
        <c:axId val="46146761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126</c:v>
                </c:pt>
                <c:pt idx="1">
                  <c:v>153</c:v>
                </c:pt>
                <c:pt idx="2">
                  <c:v>175</c:v>
                </c:pt>
                <c:pt idx="3">
                  <c:v>153</c:v>
                </c:pt>
                <c:pt idx="4">
                  <c:v>105</c:v>
                </c:pt>
                <c:pt idx="5">
                  <c:v>109</c:v>
                </c:pt>
                <c:pt idx="6">
                  <c:v>113</c:v>
                </c:pt>
                <c:pt idx="7">
                  <c:v>143</c:v>
                </c:pt>
                <c:pt idx="8">
                  <c:v>172</c:v>
                </c:pt>
                <c:pt idx="9">
                  <c:v>200</c:v>
                </c:pt>
                <c:pt idx="10">
                  <c:v>210</c:v>
                </c:pt>
                <c:pt idx="11">
                  <c:v>222</c:v>
                </c:pt>
                <c:pt idx="12">
                  <c:v>243</c:v>
                </c:pt>
                <c:pt idx="13">
                  <c:v>263</c:v>
                </c:pt>
                <c:pt idx="14">
                  <c:v>232</c:v>
                </c:pt>
                <c:pt idx="15">
                  <c:v>197</c:v>
                </c:pt>
                <c:pt idx="16">
                  <c:v>226</c:v>
                </c:pt>
                <c:pt idx="17">
                  <c:v>210</c:v>
                </c:pt>
                <c:pt idx="18">
                  <c:v>129</c:v>
                </c:pt>
                <c:pt idx="19">
                  <c:v>44</c:v>
                </c:pt>
                <c:pt idx="20">
                  <c:v>10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468792"/>
        <c:axId val="461465264"/>
      </c:barChart>
      <c:catAx>
        <c:axId val="4614703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67616"/>
        <c:crosses val="autoZero"/>
        <c:auto val="1"/>
        <c:lblAlgn val="ctr"/>
        <c:lblOffset val="100"/>
        <c:noMultiLvlLbl val="0"/>
      </c:catAx>
      <c:valAx>
        <c:axId val="46146761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70360"/>
        <c:crosses val="autoZero"/>
        <c:crossBetween val="between"/>
        <c:majorUnit val="250"/>
      </c:valAx>
      <c:valAx>
        <c:axId val="46146526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68792"/>
        <c:crosses val="max"/>
        <c:crossBetween val="between"/>
        <c:majorUnit val="250"/>
      </c:valAx>
      <c:catAx>
        <c:axId val="461468792"/>
        <c:scaling>
          <c:orientation val="minMax"/>
        </c:scaling>
        <c:delete val="1"/>
        <c:axPos val="l"/>
        <c:numFmt formatCode="General" sourceLinked="1"/>
        <c:majorTickMark val="out"/>
        <c:minorTickMark val="none"/>
        <c:tickLblPos val="nextTo"/>
        <c:crossAx val="46146526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都農町平均</c:v>
                </c:pt>
                <c:pt idx="2">
                  <c:v>都農小学校区</c:v>
                </c:pt>
              </c:strCache>
            </c:strRef>
          </c:cat>
          <c:val>
            <c:numRef>
              <c:f>管理者用地域特徴シート!$H$3:$H$5</c:f>
              <c:numCache>
                <c:formatCode>0.0%</c:formatCode>
                <c:ptCount val="3"/>
                <c:pt idx="0">
                  <c:v>0.46108733927332846</c:v>
                </c:pt>
                <c:pt idx="1">
                  <c:v>0.62246963562753033</c:v>
                </c:pt>
                <c:pt idx="2">
                  <c:v>0.6097023153252481</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1467224"/>
        <c:axId val="461470752"/>
      </c:barChart>
      <c:catAx>
        <c:axId val="4614672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70752"/>
        <c:crosses val="autoZero"/>
        <c:auto val="1"/>
        <c:lblAlgn val="ctr"/>
        <c:lblOffset val="100"/>
        <c:noMultiLvlLbl val="0"/>
      </c:catAx>
      <c:valAx>
        <c:axId val="4614707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672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都農町平均</c:v>
                </c:pt>
                <c:pt idx="2">
                  <c:v>都農小学校区</c:v>
                </c:pt>
              </c:strCache>
            </c:strRef>
          </c:cat>
          <c:val>
            <c:numRef>
              <c:f>管理者用地域特徴シート!$J$3:$J$5</c:f>
              <c:numCache>
                <c:formatCode>0.0%</c:formatCode>
                <c:ptCount val="3"/>
                <c:pt idx="0">
                  <c:v>0.15075281438403673</c:v>
                </c:pt>
                <c:pt idx="1">
                  <c:v>0.17661943319838055</c:v>
                </c:pt>
                <c:pt idx="2">
                  <c:v>0.18302094818081588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1469184"/>
        <c:axId val="461469576"/>
      </c:barChart>
      <c:catAx>
        <c:axId val="4614691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69576"/>
        <c:crosses val="autoZero"/>
        <c:auto val="1"/>
        <c:lblAlgn val="ctr"/>
        <c:lblOffset val="100"/>
        <c:noMultiLvlLbl val="0"/>
      </c:catAx>
      <c:valAx>
        <c:axId val="4614695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691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都農町平均</c:v>
                </c:pt>
                <c:pt idx="2">
                  <c:v>都農小学校区</c:v>
                </c:pt>
              </c:strCache>
            </c:strRef>
          </c:cat>
          <c:val>
            <c:numRef>
              <c:f>管理者用地域特徴シート!$P$3:$P$5</c:f>
              <c:numCache>
                <c:formatCode>0.0%</c:formatCode>
                <c:ptCount val="3"/>
                <c:pt idx="0">
                  <c:v>0.34758352842621743</c:v>
                </c:pt>
                <c:pt idx="1">
                  <c:v>0.26377952755905509</c:v>
                </c:pt>
                <c:pt idx="2">
                  <c:v>0.28476084538375973</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1464088"/>
        <c:axId val="461464480"/>
      </c:barChart>
      <c:catAx>
        <c:axId val="4614640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64480"/>
        <c:crosses val="autoZero"/>
        <c:auto val="1"/>
        <c:lblAlgn val="ctr"/>
        <c:lblOffset val="100"/>
        <c:noMultiLvlLbl val="0"/>
      </c:catAx>
      <c:valAx>
        <c:axId val="4614644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640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都農町平均</c:v>
                </c:pt>
                <c:pt idx="2">
                  <c:v>都農小学校区</c:v>
                </c:pt>
              </c:strCache>
            </c:strRef>
          </c:cat>
          <c:val>
            <c:numRef>
              <c:f>管理者用地域特徴シート!$AO$3:$AO$5</c:f>
              <c:numCache>
                <c:formatCode>0.0%</c:formatCode>
                <c:ptCount val="3"/>
                <c:pt idx="0">
                  <c:v>0.5259093009439566</c:v>
                </c:pt>
                <c:pt idx="1">
                  <c:v>0.5437212360289283</c:v>
                </c:pt>
                <c:pt idx="2">
                  <c:v>0.56596306068601587</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1779608"/>
        <c:axId val="461780784"/>
      </c:barChart>
      <c:catAx>
        <c:axId val="4617796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80784"/>
        <c:crosses val="autoZero"/>
        <c:auto val="1"/>
        <c:lblAlgn val="ctr"/>
        <c:lblOffset val="100"/>
        <c:noMultiLvlLbl val="0"/>
      </c:catAx>
      <c:valAx>
        <c:axId val="4617807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796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都農小学校区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0.23134678554669169</c:v>
                </c:pt>
                <c:pt idx="1">
                  <c:v>3.2848427968090099E-3</c:v>
                </c:pt>
                <c:pt idx="2">
                  <c:v>0</c:v>
                </c:pt>
                <c:pt idx="3">
                  <c:v>6.4758329422806196E-2</c:v>
                </c:pt>
                <c:pt idx="4">
                  <c:v>0.14171750351947443</c:v>
                </c:pt>
                <c:pt idx="5">
                  <c:v>4.692632566870014E-3</c:v>
                </c:pt>
                <c:pt idx="6">
                  <c:v>3.7541060534960111E-3</c:v>
                </c:pt>
                <c:pt idx="7">
                  <c:v>3.3317691224777103E-2</c:v>
                </c:pt>
                <c:pt idx="8">
                  <c:v>0.12717034256217738</c:v>
                </c:pt>
                <c:pt idx="9">
                  <c:v>1.5954950727358048E-2</c:v>
                </c:pt>
                <c:pt idx="10">
                  <c:v>4.2233693101830123E-3</c:v>
                </c:pt>
                <c:pt idx="11">
                  <c:v>1.2670107930549039E-2</c:v>
                </c:pt>
                <c:pt idx="12">
                  <c:v>3.8010323791647115E-2</c:v>
                </c:pt>
                <c:pt idx="13">
                  <c:v>3.4256217738151101E-2</c:v>
                </c:pt>
                <c:pt idx="14">
                  <c:v>2.7686532144533083E-2</c:v>
                </c:pt>
                <c:pt idx="15">
                  <c:v>0.13843266072266541</c:v>
                </c:pt>
                <c:pt idx="16">
                  <c:v>1.5485687470671047E-2</c:v>
                </c:pt>
                <c:pt idx="17">
                  <c:v>5.3026748005631161E-2</c:v>
                </c:pt>
                <c:pt idx="18">
                  <c:v>4.1764429845143128E-2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都農町平均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0.25311542390194075</c:v>
                </c:pt>
                <c:pt idx="1">
                  <c:v>1.0214504596527068E-2</c:v>
                </c:pt>
                <c:pt idx="2">
                  <c:v>2.0429009193054137E-4</c:v>
                </c:pt>
                <c:pt idx="3">
                  <c:v>6.537282941777324E-2</c:v>
                </c:pt>
                <c:pt idx="4">
                  <c:v>0.15464759959141983</c:v>
                </c:pt>
                <c:pt idx="5">
                  <c:v>6.1287027579162408E-3</c:v>
                </c:pt>
                <c:pt idx="6">
                  <c:v>2.6557711950970378E-3</c:v>
                </c:pt>
                <c:pt idx="7">
                  <c:v>4.0653728294177731E-2</c:v>
                </c:pt>
                <c:pt idx="8">
                  <c:v>0.11256384065372829</c:v>
                </c:pt>
                <c:pt idx="9">
                  <c:v>1.2461695607763024E-2</c:v>
                </c:pt>
                <c:pt idx="10">
                  <c:v>2.6557711950970378E-3</c:v>
                </c:pt>
                <c:pt idx="11">
                  <c:v>1.0418794688457609E-2</c:v>
                </c:pt>
                <c:pt idx="12">
                  <c:v>3.3707865168539325E-2</c:v>
                </c:pt>
                <c:pt idx="13">
                  <c:v>2.7374872318692543E-2</c:v>
                </c:pt>
                <c:pt idx="14">
                  <c:v>2.0837589376915218E-2</c:v>
                </c:pt>
                <c:pt idx="15">
                  <c:v>0.13421859039836567</c:v>
                </c:pt>
                <c:pt idx="16">
                  <c:v>1.8386108273748723E-2</c:v>
                </c:pt>
                <c:pt idx="17">
                  <c:v>4.9029622063329927E-2</c:v>
                </c:pt>
                <c:pt idx="18">
                  <c:v>3.6363636363636362E-2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1780000"/>
        <c:axId val="461781568"/>
      </c:barChart>
      <c:catAx>
        <c:axId val="461780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81568"/>
        <c:crosses val="autoZero"/>
        <c:auto val="1"/>
        <c:lblAlgn val="ctr"/>
        <c:lblOffset val="100"/>
        <c:noMultiLvlLbl val="0"/>
      </c:catAx>
      <c:valAx>
        <c:axId val="46178156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80000"/>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都農町平均</c:v>
                </c:pt>
                <c:pt idx="2">
                  <c:v>都農小学校区</c:v>
                </c:pt>
              </c:strCache>
            </c:strRef>
          </c:cat>
          <c:val>
            <c:numRef>
              <c:f>管理者用地域特徴シート!$CK$3:$CK$5</c:f>
              <c:numCache>
                <c:formatCode>0.0%</c:formatCode>
                <c:ptCount val="3"/>
                <c:pt idx="0">
                  <c:v>0.82747216160708559</c:v>
                </c:pt>
                <c:pt idx="1">
                  <c:v>0.62124616956077627</c:v>
                </c:pt>
                <c:pt idx="2">
                  <c:v>0.62505865790708592</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1776080"/>
        <c:axId val="461776864"/>
      </c:barChart>
      <c:catAx>
        <c:axId val="4617760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76864"/>
        <c:crosses val="autoZero"/>
        <c:auto val="1"/>
        <c:lblAlgn val="ctr"/>
        <c:lblOffset val="100"/>
        <c:noMultiLvlLbl val="0"/>
      </c:catAx>
      <c:valAx>
        <c:axId val="4617768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760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0.32</c:v>
                </c:pt>
                <c:pt idx="1">
                  <c:v>0.36</c:v>
                </c:pt>
                <c:pt idx="2">
                  <c:v>0.39</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3967728"/>
        <c:axId val="393972040"/>
      </c:barChart>
      <c:catAx>
        <c:axId val="393967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72040"/>
        <c:crosses val="autoZero"/>
        <c:auto val="1"/>
        <c:lblAlgn val="ctr"/>
        <c:lblOffset val="100"/>
        <c:noMultiLvlLbl val="0"/>
      </c:catAx>
      <c:valAx>
        <c:axId val="3939720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677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0.18</c:v>
                </c:pt>
                <c:pt idx="1">
                  <c:v>0.19</c:v>
                </c:pt>
                <c:pt idx="2">
                  <c:v>0.21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3973216"/>
        <c:axId val="393969296"/>
      </c:barChart>
      <c:catAx>
        <c:axId val="393973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69296"/>
        <c:crosses val="autoZero"/>
        <c:auto val="1"/>
        <c:lblAlgn val="ctr"/>
        <c:lblOffset val="100"/>
        <c:noMultiLvlLbl val="0"/>
      </c:catAx>
      <c:valAx>
        <c:axId val="393969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732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9.7351472075947124E-7"/>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95D-4BF4-BCCE-49493E555512}"/>
                </c:ext>
                <c:ext xmlns:c15="http://schemas.microsoft.com/office/drawing/2012/chart" uri="{CE6537A1-D6FC-4f65-9D91-7224C49458BB}"/>
              </c:extLst>
            </c:dLbl>
            <c:dLbl>
              <c:idx val="20"/>
              <c:layout>
                <c:manualLayout>
                  <c:x val="-3.2871049051350465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95D-4BF4-BCCE-49493E55551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90</c:v>
                </c:pt>
                <c:pt idx="1">
                  <c:v>103</c:v>
                </c:pt>
                <c:pt idx="2">
                  <c:v>127</c:v>
                </c:pt>
                <c:pt idx="3">
                  <c:v>122</c:v>
                </c:pt>
                <c:pt idx="4">
                  <c:v>83</c:v>
                </c:pt>
                <c:pt idx="5">
                  <c:v>106</c:v>
                </c:pt>
                <c:pt idx="6">
                  <c:v>104</c:v>
                </c:pt>
                <c:pt idx="7">
                  <c:v>129</c:v>
                </c:pt>
                <c:pt idx="8">
                  <c:v>109</c:v>
                </c:pt>
                <c:pt idx="9">
                  <c:v>125</c:v>
                </c:pt>
                <c:pt idx="10">
                  <c:v>179</c:v>
                </c:pt>
                <c:pt idx="11">
                  <c:v>192</c:v>
                </c:pt>
                <c:pt idx="12">
                  <c:v>191</c:v>
                </c:pt>
                <c:pt idx="13">
                  <c:v>178</c:v>
                </c:pt>
                <c:pt idx="14">
                  <c:v>152</c:v>
                </c:pt>
                <c:pt idx="15">
                  <c:v>133</c:v>
                </c:pt>
                <c:pt idx="16">
                  <c:v>108</c:v>
                </c:pt>
                <c:pt idx="17">
                  <c:v>36</c:v>
                </c:pt>
                <c:pt idx="18">
                  <c:v>21</c:v>
                </c:pt>
                <c:pt idx="19">
                  <c:v>5</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981936"/>
        <c:axId val="39998703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86</c:v>
                </c:pt>
                <c:pt idx="1">
                  <c:v>115</c:v>
                </c:pt>
                <c:pt idx="2">
                  <c:v>127</c:v>
                </c:pt>
                <c:pt idx="3">
                  <c:v>110</c:v>
                </c:pt>
                <c:pt idx="4">
                  <c:v>76</c:v>
                </c:pt>
                <c:pt idx="5">
                  <c:v>90</c:v>
                </c:pt>
                <c:pt idx="6">
                  <c:v>101</c:v>
                </c:pt>
                <c:pt idx="7">
                  <c:v>145</c:v>
                </c:pt>
                <c:pt idx="8">
                  <c:v>121</c:v>
                </c:pt>
                <c:pt idx="9">
                  <c:v>120</c:v>
                </c:pt>
                <c:pt idx="10">
                  <c:v>159</c:v>
                </c:pt>
                <c:pt idx="11">
                  <c:v>201</c:v>
                </c:pt>
                <c:pt idx="12">
                  <c:v>238</c:v>
                </c:pt>
                <c:pt idx="13">
                  <c:v>179</c:v>
                </c:pt>
                <c:pt idx="14">
                  <c:v>185</c:v>
                </c:pt>
                <c:pt idx="15">
                  <c:v>191</c:v>
                </c:pt>
                <c:pt idx="16">
                  <c:v>166</c:v>
                </c:pt>
                <c:pt idx="17">
                  <c:v>119</c:v>
                </c:pt>
                <c:pt idx="18">
                  <c:v>85</c:v>
                </c:pt>
                <c:pt idx="19">
                  <c:v>21</c:v>
                </c:pt>
                <c:pt idx="20">
                  <c:v>5</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979584"/>
        <c:axId val="399982328"/>
      </c:barChart>
      <c:catAx>
        <c:axId val="3999819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87032"/>
        <c:crosses val="autoZero"/>
        <c:auto val="1"/>
        <c:lblAlgn val="ctr"/>
        <c:lblOffset val="100"/>
        <c:noMultiLvlLbl val="0"/>
      </c:catAx>
      <c:valAx>
        <c:axId val="39998703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81936"/>
        <c:crosses val="autoZero"/>
        <c:crossBetween val="between"/>
        <c:majorUnit val="150"/>
      </c:valAx>
      <c:valAx>
        <c:axId val="39998232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79584"/>
        <c:crosses val="max"/>
        <c:crossBetween val="between"/>
        <c:majorUnit val="150"/>
      </c:valAx>
      <c:catAx>
        <c:axId val="399979584"/>
        <c:scaling>
          <c:orientation val="minMax"/>
        </c:scaling>
        <c:delete val="1"/>
        <c:axPos val="l"/>
        <c:numFmt formatCode="General" sourceLinked="1"/>
        <c:majorTickMark val="out"/>
        <c:minorTickMark val="none"/>
        <c:tickLblPos val="nextTo"/>
        <c:crossAx val="3999823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2293</c:v>
                </c:pt>
                <c:pt idx="1">
                  <c:v>2149</c:v>
                </c:pt>
                <c:pt idx="2">
                  <c:v>2100</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2640</c:v>
                </c:pt>
                <c:pt idx="1">
                  <c:v>2484</c:v>
                </c:pt>
                <c:pt idx="2">
                  <c:v>2392</c:v>
                </c:pt>
              </c:numCache>
            </c:numRef>
          </c:val>
          <c:extLst xmlns:c16r2="http://schemas.microsoft.com/office/drawing/2015/06/chart">
            <c:ext xmlns:c16="http://schemas.microsoft.com/office/drawing/2014/chart" uri="{C3380CC4-5D6E-409C-BE32-E72D297353CC}">
              <c16:uniqueId val="{00000000-C760-46F9-9D5F-19C0310CD970}"/>
            </c:ext>
          </c:extLst>
        </c:ser>
        <c:dLbls>
          <c:showLegendKey val="0"/>
          <c:showVal val="0"/>
          <c:showCatName val="0"/>
          <c:showSerName val="0"/>
          <c:showPercent val="0"/>
          <c:showBubbleSize val="0"/>
        </c:dLbls>
        <c:gapWidth val="219"/>
        <c:overlap val="100"/>
        <c:axId val="399981152"/>
        <c:axId val="39998546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760-46F9-9D5F-19C0310CD970}"/>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4933</c:v>
                </c:pt>
                <c:pt idx="1">
                  <c:v>4633</c:v>
                </c:pt>
                <c:pt idx="2">
                  <c:v>4492</c:v>
                </c:pt>
              </c:numCache>
            </c:numRef>
          </c:val>
          <c:smooth val="0"/>
          <c:extLst xmlns:c16r2="http://schemas.microsoft.com/office/drawing/2015/06/chart">
            <c:ext xmlns:c16="http://schemas.microsoft.com/office/drawing/2014/chart" uri="{C3380CC4-5D6E-409C-BE32-E72D297353CC}">
              <c16:uniqueId val="{00000002-C760-46F9-9D5F-19C0310CD970}"/>
            </c:ext>
          </c:extLst>
        </c:ser>
        <c:dLbls>
          <c:showLegendKey val="0"/>
          <c:showVal val="0"/>
          <c:showCatName val="0"/>
          <c:showSerName val="0"/>
          <c:showPercent val="0"/>
          <c:showBubbleSize val="0"/>
        </c:dLbls>
        <c:marker val="1"/>
        <c:smooth val="0"/>
        <c:axId val="399981152"/>
        <c:axId val="399985464"/>
      </c:lineChart>
      <c:catAx>
        <c:axId val="39998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85464"/>
        <c:crosses val="autoZero"/>
        <c:auto val="1"/>
        <c:lblAlgn val="ctr"/>
        <c:lblOffset val="100"/>
        <c:noMultiLvlLbl val="0"/>
      </c:catAx>
      <c:valAx>
        <c:axId val="3999854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81152"/>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2123076014611294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DD7-438F-8A77-71AA9285982B}"/>
                </c:ext>
                <c:ext xmlns:c15="http://schemas.microsoft.com/office/drawing/2012/chart" uri="{CE6537A1-D6FC-4f65-9D91-7224C49458BB}"/>
              </c:extLst>
            </c:dLbl>
            <c:dLbl>
              <c:idx val="20"/>
              <c:layout>
                <c:manualLayout>
                  <c:x val="-1.1348930344239829E-3"/>
                  <c:y val="-5.63847434427577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DD7-438F-8A77-71AA928598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101</c:v>
                </c:pt>
                <c:pt idx="1">
                  <c:v>87</c:v>
                </c:pt>
                <c:pt idx="2">
                  <c:v>98</c:v>
                </c:pt>
                <c:pt idx="3">
                  <c:v>80</c:v>
                </c:pt>
                <c:pt idx="4">
                  <c:v>79</c:v>
                </c:pt>
                <c:pt idx="5">
                  <c:v>76</c:v>
                </c:pt>
                <c:pt idx="6">
                  <c:v>97</c:v>
                </c:pt>
                <c:pt idx="7">
                  <c:v>108</c:v>
                </c:pt>
                <c:pt idx="8">
                  <c:v>118</c:v>
                </c:pt>
                <c:pt idx="9">
                  <c:v>133</c:v>
                </c:pt>
                <c:pt idx="10">
                  <c:v>120</c:v>
                </c:pt>
                <c:pt idx="11">
                  <c:v>120</c:v>
                </c:pt>
                <c:pt idx="12">
                  <c:v>155</c:v>
                </c:pt>
                <c:pt idx="13">
                  <c:v>181</c:v>
                </c:pt>
                <c:pt idx="14">
                  <c:v>177</c:v>
                </c:pt>
                <c:pt idx="15">
                  <c:v>149</c:v>
                </c:pt>
                <c:pt idx="16">
                  <c:v>112</c:v>
                </c:pt>
                <c:pt idx="17">
                  <c:v>71</c:v>
                </c:pt>
                <c:pt idx="18">
                  <c:v>29</c:v>
                </c:pt>
                <c:pt idx="19">
                  <c:v>7</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981544"/>
        <c:axId val="39997997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73</c:v>
                </c:pt>
                <c:pt idx="1">
                  <c:v>101</c:v>
                </c:pt>
                <c:pt idx="2">
                  <c:v>88</c:v>
                </c:pt>
                <c:pt idx="3">
                  <c:v>103</c:v>
                </c:pt>
                <c:pt idx="4">
                  <c:v>65</c:v>
                </c:pt>
                <c:pt idx="5">
                  <c:v>84</c:v>
                </c:pt>
                <c:pt idx="6">
                  <c:v>82</c:v>
                </c:pt>
                <c:pt idx="7">
                  <c:v>101</c:v>
                </c:pt>
                <c:pt idx="8">
                  <c:v>115</c:v>
                </c:pt>
                <c:pt idx="9">
                  <c:v>141</c:v>
                </c:pt>
                <c:pt idx="10">
                  <c:v>140</c:v>
                </c:pt>
                <c:pt idx="11">
                  <c:v>114</c:v>
                </c:pt>
                <c:pt idx="12">
                  <c:v>153</c:v>
                </c:pt>
                <c:pt idx="13">
                  <c:v>208</c:v>
                </c:pt>
                <c:pt idx="14">
                  <c:v>238</c:v>
                </c:pt>
                <c:pt idx="15">
                  <c:v>163</c:v>
                </c:pt>
                <c:pt idx="16">
                  <c:v>152</c:v>
                </c:pt>
                <c:pt idx="17">
                  <c:v>157</c:v>
                </c:pt>
                <c:pt idx="18">
                  <c:v>76</c:v>
                </c:pt>
                <c:pt idx="19">
                  <c:v>35</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980368"/>
        <c:axId val="399985856"/>
      </c:barChart>
      <c:catAx>
        <c:axId val="3999815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79976"/>
        <c:crosses val="autoZero"/>
        <c:auto val="1"/>
        <c:lblAlgn val="ctr"/>
        <c:lblOffset val="100"/>
        <c:noMultiLvlLbl val="0"/>
      </c:catAx>
      <c:valAx>
        <c:axId val="39997997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81544"/>
        <c:crosses val="autoZero"/>
        <c:crossBetween val="between"/>
        <c:majorUnit val="150"/>
      </c:valAx>
      <c:valAx>
        <c:axId val="39998585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80368"/>
        <c:crosses val="max"/>
        <c:crossBetween val="between"/>
        <c:majorUnit val="150"/>
      </c:valAx>
      <c:catAx>
        <c:axId val="399980368"/>
        <c:scaling>
          <c:orientation val="minMax"/>
        </c:scaling>
        <c:delete val="1"/>
        <c:axPos val="l"/>
        <c:numFmt formatCode="General" sourceLinked="1"/>
        <c:majorTickMark val="out"/>
        <c:minorTickMark val="none"/>
        <c:tickLblPos val="nextTo"/>
        <c:crossAx val="3999858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6A48-4341-BAB2-B4EFF7ECF0F6}"/>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6A48-4341-BAB2-B4EFF7ECF0F6}"/>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6A48-4341-BAB2-B4EFF7ECF0F6}"/>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A48-4341-BAB2-B4EFF7ECF0F6}"/>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A48-4341-BAB2-B4EFF7ECF0F6}"/>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2293</c:v>
                </c:pt>
                <c:pt idx="1">
                  <c:v>2149</c:v>
                </c:pt>
                <c:pt idx="2">
                  <c:v>2100</c:v>
                </c:pt>
                <c:pt idx="3">
                  <c:v>2001</c:v>
                </c:pt>
                <c:pt idx="4">
                  <c:v>1890</c:v>
                </c:pt>
                <c:pt idx="5">
                  <c:v>1759</c:v>
                </c:pt>
                <c:pt idx="6">
                  <c:v>1626</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6A48-4341-BAB2-B4EFF7ECF0F6}"/>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6A48-4341-BAB2-B4EFF7ECF0F6}"/>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6A48-4341-BAB2-B4EFF7ECF0F6}"/>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2640</c:v>
                </c:pt>
                <c:pt idx="1">
                  <c:v>2484</c:v>
                </c:pt>
                <c:pt idx="2">
                  <c:v>2392</c:v>
                </c:pt>
                <c:pt idx="3">
                  <c:v>2239</c:v>
                </c:pt>
                <c:pt idx="4">
                  <c:v>2084</c:v>
                </c:pt>
                <c:pt idx="5">
                  <c:v>1921</c:v>
                </c:pt>
                <c:pt idx="6">
                  <c:v>1765</c:v>
                </c:pt>
              </c:numCache>
            </c:numRef>
          </c:val>
          <c:extLst xmlns:c16r2="http://schemas.microsoft.com/office/drawing/2015/06/chart">
            <c:ext xmlns:c16="http://schemas.microsoft.com/office/drawing/2014/chart" uri="{C3380CC4-5D6E-409C-BE32-E72D297353CC}">
              <c16:uniqueId val="{00000010-6A48-4341-BAB2-B4EFF7ECF0F6}"/>
            </c:ext>
          </c:extLst>
        </c:ser>
        <c:dLbls>
          <c:showLegendKey val="0"/>
          <c:showVal val="0"/>
          <c:showCatName val="0"/>
          <c:showSerName val="0"/>
          <c:showPercent val="0"/>
          <c:showBubbleSize val="0"/>
        </c:dLbls>
        <c:gapWidth val="219"/>
        <c:overlap val="100"/>
        <c:axId val="399983112"/>
        <c:axId val="39998468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4933</c:v>
                </c:pt>
                <c:pt idx="1">
                  <c:v>4633</c:v>
                </c:pt>
                <c:pt idx="2">
                  <c:v>4492</c:v>
                </c:pt>
                <c:pt idx="3">
                  <c:v>4240</c:v>
                </c:pt>
                <c:pt idx="4">
                  <c:v>3974</c:v>
                </c:pt>
                <c:pt idx="5">
                  <c:v>3680</c:v>
                </c:pt>
                <c:pt idx="6">
                  <c:v>3391</c:v>
                </c:pt>
              </c:numCache>
            </c:numRef>
          </c:val>
          <c:smooth val="0"/>
          <c:extLst xmlns:c16r2="http://schemas.microsoft.com/office/drawing/2015/06/chart">
            <c:ext xmlns:c16="http://schemas.microsoft.com/office/drawing/2014/chart" uri="{C3380CC4-5D6E-409C-BE32-E72D297353CC}">
              <c16:uniqueId val="{00000011-6A48-4341-BAB2-B4EFF7ECF0F6}"/>
            </c:ext>
          </c:extLst>
        </c:ser>
        <c:dLbls>
          <c:showLegendKey val="0"/>
          <c:showVal val="0"/>
          <c:showCatName val="0"/>
          <c:showSerName val="0"/>
          <c:showPercent val="0"/>
          <c:showBubbleSize val="0"/>
        </c:dLbls>
        <c:marker val="1"/>
        <c:smooth val="0"/>
        <c:axId val="399983112"/>
        <c:axId val="399984680"/>
      </c:lineChart>
      <c:catAx>
        <c:axId val="399983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84680"/>
        <c:crosses val="autoZero"/>
        <c:auto val="1"/>
        <c:lblAlgn val="ctr"/>
        <c:lblOffset val="100"/>
        <c:noMultiLvlLbl val="0"/>
      </c:catAx>
      <c:valAx>
        <c:axId val="3999846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8311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283</c:v>
                </c:pt>
                <c:pt idx="1">
                  <c:v>253</c:v>
                </c:pt>
                <c:pt idx="2">
                  <c:v>225</c:v>
                </c:pt>
                <c:pt idx="3">
                  <c:v>229</c:v>
                </c:pt>
                <c:pt idx="4">
                  <c:v>224</c:v>
                </c:pt>
                <c:pt idx="5">
                  <c:v>208</c:v>
                </c:pt>
                <c:pt idx="6">
                  <c:v>188</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9985072"/>
        <c:axId val="399986248"/>
      </c:barChart>
      <c:catAx>
        <c:axId val="399985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86248"/>
        <c:crosses val="autoZero"/>
        <c:auto val="1"/>
        <c:lblAlgn val="ctr"/>
        <c:lblOffset val="100"/>
        <c:noMultiLvlLbl val="0"/>
      </c:catAx>
      <c:valAx>
        <c:axId val="3999862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850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都農小学校区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9"/>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304" t="s">
        <v>131</v>
      </c>
      <c r="L1" s="304"/>
      <c r="M1" s="304"/>
      <c r="N1" s="304"/>
      <c r="O1" s="304"/>
      <c r="P1" s="304"/>
      <c r="Q1" s="304"/>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都農町平均</v>
      </c>
      <c r="C4" s="88" t="str">
        <f>B4</f>
        <v>都農町平均</v>
      </c>
      <c r="D4" s="185">
        <f>SUM(D7:D70)</f>
        <v>3952</v>
      </c>
      <c r="E4" s="186">
        <f>SUM(E7:E70)</f>
        <v>2460</v>
      </c>
      <c r="F4" s="186">
        <f>SUM(F7:F70)</f>
        <v>730</v>
      </c>
      <c r="G4" s="187">
        <f>SUM(G7:G70)</f>
        <v>698</v>
      </c>
      <c r="H4" s="148">
        <f>E4/D4</f>
        <v>0.62246963562753033</v>
      </c>
      <c r="I4" s="149">
        <f>F4/D4</f>
        <v>0.18471659919028341</v>
      </c>
      <c r="J4" s="150">
        <f>G4/D4</f>
        <v>0.17661943319838055</v>
      </c>
      <c r="K4" s="185">
        <f>SUM(K7:K70)</f>
        <v>9906</v>
      </c>
      <c r="L4" s="186">
        <f>SUM(L7:L70)</f>
        <v>1681</v>
      </c>
      <c r="M4" s="186">
        <f>SUM(M7:M70)</f>
        <v>2613</v>
      </c>
      <c r="N4" s="187">
        <f>SUM(N7:N70)</f>
        <v>5373</v>
      </c>
      <c r="O4" s="148">
        <f>L4/K4</f>
        <v>0.1696951342620634</v>
      </c>
      <c r="P4" s="149">
        <f>M4/K4</f>
        <v>0.26377952755905509</v>
      </c>
      <c r="Q4" s="150">
        <f>N4/K4</f>
        <v>0.54239854633555418</v>
      </c>
      <c r="R4" s="185">
        <f>SUM(R7:R70)</f>
        <v>9906</v>
      </c>
      <c r="S4" s="145">
        <f>SUM(S7:S70)</f>
        <v>714</v>
      </c>
      <c r="T4" s="145">
        <f>SUM(T7:T70)</f>
        <v>502</v>
      </c>
      <c r="U4" s="144">
        <f>SUM(U7:U70)</f>
        <v>256</v>
      </c>
      <c r="V4" s="144">
        <f>SUM(V7:V70)</f>
        <v>49</v>
      </c>
      <c r="W4" s="146">
        <f>S4+T4+U4+V4</f>
        <v>1521</v>
      </c>
      <c r="X4" s="143">
        <f>SUM(X7:X70)</f>
        <v>4677</v>
      </c>
      <c r="Y4" s="144">
        <f>SUM(Y7:Y70)</f>
        <v>296</v>
      </c>
      <c r="Z4" s="144">
        <f>SUM(Z7:Z70)</f>
        <v>241</v>
      </c>
      <c r="AA4" s="144">
        <f>SUM(AA7:AA70)</f>
        <v>137</v>
      </c>
      <c r="AB4" s="144">
        <f>SUM(AB7:AB70)</f>
        <v>20</v>
      </c>
      <c r="AC4" s="146">
        <f>Y4+Z4+AA4+AB4</f>
        <v>694</v>
      </c>
      <c r="AD4" s="143">
        <f>SUM(AD7:AD70)</f>
        <v>5229</v>
      </c>
      <c r="AE4" s="143">
        <f t="shared" ref="AE4:AH4" si="0">SUM(AE7:AE70)</f>
        <v>418</v>
      </c>
      <c r="AF4" s="143">
        <f t="shared" si="0"/>
        <v>261</v>
      </c>
      <c r="AG4" s="143">
        <f t="shared" si="0"/>
        <v>119</v>
      </c>
      <c r="AH4" s="143">
        <f t="shared" si="0"/>
        <v>29</v>
      </c>
      <c r="AI4" s="146">
        <f>AE4+AF4+AG4+AH4</f>
        <v>827</v>
      </c>
      <c r="AJ4" s="148">
        <f>W4/R4</f>
        <v>0.15354330708661418</v>
      </c>
      <c r="AK4" s="149">
        <f>T4/W4</f>
        <v>0.33004602235371466</v>
      </c>
      <c r="AL4" s="149">
        <f>U4/W4</f>
        <v>0.16831032215647601</v>
      </c>
      <c r="AM4" s="149">
        <f>V4/W4</f>
        <v>3.2215647600262985E-2</v>
      </c>
      <c r="AN4" s="147">
        <f>AC4/W4</f>
        <v>0.45627876397107164</v>
      </c>
      <c r="AO4" s="150">
        <f>AI4/W4</f>
        <v>0.5437212360289283</v>
      </c>
      <c r="AP4" s="143">
        <f>SUM(AP7:AP70)</f>
        <v>4895</v>
      </c>
      <c r="AQ4" s="144">
        <f t="shared" ref="AQ4:BI4" si="1">SUM(AQ7:AQ70)</f>
        <v>1239</v>
      </c>
      <c r="AR4" s="144">
        <f t="shared" si="1"/>
        <v>50</v>
      </c>
      <c r="AS4" s="144">
        <f t="shared" si="1"/>
        <v>1</v>
      </c>
      <c r="AT4" s="144">
        <f t="shared" si="1"/>
        <v>320</v>
      </c>
      <c r="AU4" s="144">
        <f t="shared" si="1"/>
        <v>757</v>
      </c>
      <c r="AV4" s="144">
        <f t="shared" si="1"/>
        <v>30</v>
      </c>
      <c r="AW4" s="144">
        <f t="shared" si="1"/>
        <v>13</v>
      </c>
      <c r="AX4" s="144">
        <f t="shared" si="1"/>
        <v>199</v>
      </c>
      <c r="AY4" s="144">
        <f t="shared" si="1"/>
        <v>551</v>
      </c>
      <c r="AZ4" s="144">
        <f t="shared" si="1"/>
        <v>61</v>
      </c>
      <c r="BA4" s="144">
        <f t="shared" si="1"/>
        <v>13</v>
      </c>
      <c r="BB4" s="144">
        <f t="shared" si="1"/>
        <v>51</v>
      </c>
      <c r="BC4" s="144">
        <f t="shared" si="1"/>
        <v>165</v>
      </c>
      <c r="BD4" s="144">
        <f t="shared" si="1"/>
        <v>134</v>
      </c>
      <c r="BE4" s="144">
        <f t="shared" si="1"/>
        <v>102</v>
      </c>
      <c r="BF4" s="144">
        <f t="shared" si="1"/>
        <v>657</v>
      </c>
      <c r="BG4" s="144">
        <f t="shared" si="1"/>
        <v>90</v>
      </c>
      <c r="BH4" s="144">
        <f t="shared" si="1"/>
        <v>240</v>
      </c>
      <c r="BI4" s="146">
        <f t="shared" si="1"/>
        <v>178</v>
      </c>
      <c r="BJ4" s="147">
        <f>IF($AP4=0,0,AQ4/$AP4)</f>
        <v>0.25311542390194075</v>
      </c>
      <c r="BK4" s="149">
        <f t="shared" ref="BK4:CB4" si="2">IF($AP4=0,0,AR4/$AP4)</f>
        <v>1.0214504596527068E-2</v>
      </c>
      <c r="BL4" s="149">
        <f t="shared" si="2"/>
        <v>2.0429009193054137E-4</v>
      </c>
      <c r="BM4" s="149">
        <f t="shared" si="2"/>
        <v>6.537282941777324E-2</v>
      </c>
      <c r="BN4" s="149">
        <f t="shared" si="2"/>
        <v>0.15464759959141983</v>
      </c>
      <c r="BO4" s="149">
        <f t="shared" si="2"/>
        <v>6.1287027579162408E-3</v>
      </c>
      <c r="BP4" s="149">
        <f t="shared" si="2"/>
        <v>2.6557711950970378E-3</v>
      </c>
      <c r="BQ4" s="149">
        <f t="shared" si="2"/>
        <v>4.0653728294177731E-2</v>
      </c>
      <c r="BR4" s="149">
        <f t="shared" si="2"/>
        <v>0.11256384065372829</v>
      </c>
      <c r="BS4" s="149">
        <f t="shared" si="2"/>
        <v>1.2461695607763024E-2</v>
      </c>
      <c r="BT4" s="149">
        <f t="shared" si="2"/>
        <v>2.6557711950970378E-3</v>
      </c>
      <c r="BU4" s="149">
        <f t="shared" si="2"/>
        <v>1.0418794688457609E-2</v>
      </c>
      <c r="BV4" s="149">
        <f t="shared" si="2"/>
        <v>3.3707865168539325E-2</v>
      </c>
      <c r="BW4" s="149">
        <f t="shared" si="2"/>
        <v>2.7374872318692543E-2</v>
      </c>
      <c r="BX4" s="149">
        <f t="shared" si="2"/>
        <v>2.0837589376915218E-2</v>
      </c>
      <c r="BY4" s="149">
        <f t="shared" si="2"/>
        <v>0.13421859039836567</v>
      </c>
      <c r="BZ4" s="149">
        <f t="shared" si="2"/>
        <v>1.8386108273748723E-2</v>
      </c>
      <c r="CA4" s="149">
        <f t="shared" si="2"/>
        <v>4.9029622063329927E-2</v>
      </c>
      <c r="CB4" s="150">
        <f t="shared" si="2"/>
        <v>3.6363636363636362E-2</v>
      </c>
      <c r="CC4" s="143">
        <f>SUM(CC7:CC70)</f>
        <v>4895</v>
      </c>
      <c r="CD4" s="144">
        <f t="shared" ref="CD4:CI4" si="3">SUM(CD7:CD70)</f>
        <v>3041</v>
      </c>
      <c r="CE4" s="144">
        <f t="shared" si="3"/>
        <v>1770</v>
      </c>
      <c r="CF4" s="144">
        <f t="shared" si="3"/>
        <v>32</v>
      </c>
      <c r="CG4" s="143">
        <f t="shared" si="3"/>
        <v>346</v>
      </c>
      <c r="CH4" s="144">
        <f t="shared" si="3"/>
        <v>81</v>
      </c>
      <c r="CI4" s="144">
        <f t="shared" si="3"/>
        <v>248</v>
      </c>
      <c r="CJ4" s="144">
        <f>SUM(CJ7:CJ70)</f>
        <v>8</v>
      </c>
      <c r="CK4" s="148">
        <f t="shared" ref="CK4:CM4" si="4">IF($CC4=0,0,CD4/$CC4)</f>
        <v>0.62124616956077627</v>
      </c>
      <c r="CL4" s="149">
        <f t="shared" si="4"/>
        <v>0.36159346271705822</v>
      </c>
      <c r="CM4" s="150">
        <f t="shared" si="4"/>
        <v>6.5372829417773238E-3</v>
      </c>
      <c r="CN4" s="148">
        <f t="shared" ref="CN4:CP4" si="5">IF($CG4=0,0,CH4/$CG4)</f>
        <v>0.23410404624277456</v>
      </c>
      <c r="CO4" s="149">
        <f t="shared" si="5"/>
        <v>0.7167630057803468</v>
      </c>
      <c r="CP4" s="150">
        <f t="shared" si="5"/>
        <v>2.3121387283236993E-2</v>
      </c>
    </row>
    <row r="5" spans="1:94" s="181" customFormat="1" x14ac:dyDescent="0.15">
      <c r="A5" s="183" t="str">
        <f>管理者入力シート!B2</f>
        <v>45406_1</v>
      </c>
      <c r="B5" s="201" t="str">
        <f>VLOOKUP($A$5,$A$7:$CP$50,2,FALSE)</f>
        <v>都農町</v>
      </c>
      <c r="C5" s="201" t="str">
        <f>VLOOKUP($A$5,$A$7:$CP$50,3,FALSE)</f>
        <v>都農小学校区</v>
      </c>
      <c r="D5" s="188">
        <f>VLOOKUP($A$5,$A$7:$CP$70,4,FALSE)</f>
        <v>1814</v>
      </c>
      <c r="E5" s="189">
        <f>VLOOKUP($A$5,$A$7:$CP$70,5,FALSE)</f>
        <v>1106</v>
      </c>
      <c r="F5" s="189">
        <f>VLOOKUP($A$5,$A$7:$CP$70,6,FALSE)</f>
        <v>338</v>
      </c>
      <c r="G5" s="190">
        <f>VLOOKUP($A$5,$A$7:$CP$70,7,FALSE)</f>
        <v>332</v>
      </c>
      <c r="H5" s="178">
        <f>VLOOKUP($A$5,$A$7:$CP$70,8,FALSE)</f>
        <v>0.6097023153252481</v>
      </c>
      <c r="I5" s="179">
        <f>VLOOKUP($A$5,$A$7:$CP$70,9,FALSE)</f>
        <v>0.18632855567805953</v>
      </c>
      <c r="J5" s="180">
        <f>VLOOKUP($A$5,$A$7:$CP$70,10,FALSE)</f>
        <v>0.18302094818081588</v>
      </c>
      <c r="K5" s="188">
        <f>VLOOKUP($A$5,$A$7:$CP$70,11,FALSE)</f>
        <v>4495</v>
      </c>
      <c r="L5" s="189">
        <f>VLOOKUP($A$5,$A$7:$CP$70,12,FALSE)</f>
        <v>695</v>
      </c>
      <c r="M5" s="189">
        <f>VLOOKUP($A$5,$A$7:$CP$70,13,FALSE)</f>
        <v>1280</v>
      </c>
      <c r="N5" s="190">
        <f>VLOOKUP($A$5,$A$7:$CP$70,14,FALSE)</f>
        <v>2365</v>
      </c>
      <c r="O5" s="178">
        <f>VLOOKUP($A$5,$A$7:$CP$70,15,FALSE)</f>
        <v>0.1546162402669633</v>
      </c>
      <c r="P5" s="179">
        <f>VLOOKUP($A$5,$A$7:$CP$70,16,FALSE)</f>
        <v>0.28476084538375973</v>
      </c>
      <c r="Q5" s="180">
        <f>VLOOKUP($A$5,$A$7:$CP$70,17,FALSE)</f>
        <v>0.5261401557285873</v>
      </c>
      <c r="R5" s="188">
        <f>VLOOKUP($A$5,$A$7:$CP$70,18,FALSE)</f>
        <v>4495</v>
      </c>
      <c r="S5" s="189">
        <f>VLOOKUP($A$5,$A$7:$CP$70,19,FALSE)</f>
        <v>359</v>
      </c>
      <c r="T5" s="189">
        <f>VLOOKUP($A$5,$A$7:$CP$70,20,FALSE)</f>
        <v>220</v>
      </c>
      <c r="U5" s="189">
        <f>VLOOKUP($A$5,$A$7:$CP$70,21,FALSE)</f>
        <v>158</v>
      </c>
      <c r="V5" s="189">
        <f>VLOOKUP($A$5,$A$7:$CP$70,22,FALSE)</f>
        <v>21</v>
      </c>
      <c r="W5" s="190">
        <f>VLOOKUP($A$5,$A$7:$CP$70,23,FALSE)</f>
        <v>758</v>
      </c>
      <c r="X5" s="188">
        <f>VLOOKUP($A$5,$A$7:$CP$70,24,FALSE)</f>
        <v>2103</v>
      </c>
      <c r="Y5" s="189">
        <f>VLOOKUP($A$5,$A$7:$CP$70,25,FALSE)</f>
        <v>138</v>
      </c>
      <c r="Z5" s="189">
        <f>VLOOKUP($A$5,$A$7:$CP$70,26,FALSE)</f>
        <v>107</v>
      </c>
      <c r="AA5" s="189">
        <f>VLOOKUP($A$5,$A$7:$CP$70,27,FALSE)</f>
        <v>83</v>
      </c>
      <c r="AB5" s="189">
        <f>VLOOKUP($A$5,$A$7:$CP$70,28,FALSE)</f>
        <v>1</v>
      </c>
      <c r="AC5" s="191">
        <f>VLOOKUP($A$5,$A$7:$CP$70,29,FALSE)</f>
        <v>329</v>
      </c>
      <c r="AD5" s="188">
        <f>VLOOKUP($A$5,$A$7:$CP$70,30,FALSE)</f>
        <v>2392</v>
      </c>
      <c r="AE5" s="189">
        <f>VLOOKUP($A$5,$A$7:$CP$70,31,FALSE)</f>
        <v>221</v>
      </c>
      <c r="AF5" s="189">
        <f>VLOOKUP($A$5,$A$7:$CP$70,32,FALSE)</f>
        <v>113</v>
      </c>
      <c r="AG5" s="189">
        <f>VLOOKUP($A$5,$A$7:$CP$70,33,FALSE)</f>
        <v>75</v>
      </c>
      <c r="AH5" s="189">
        <f>VLOOKUP($A$5,$A$7:$CP$70,34,FALSE)</f>
        <v>20</v>
      </c>
      <c r="AI5" s="191">
        <f>VLOOKUP($A$5,$A$7:$CP$70,35,FALSE)</f>
        <v>429</v>
      </c>
      <c r="AJ5" s="178">
        <f>VLOOKUP($A$5,$A$7:$CP$70,36,FALSE)</f>
        <v>0.16863181312569522</v>
      </c>
      <c r="AK5" s="179">
        <f>VLOOKUP($A$5,$A$7:$CP$70,37,FALSE)</f>
        <v>0.29023746701846964</v>
      </c>
      <c r="AL5" s="179">
        <f>VLOOKUP($A$5,$A$7:$CP$70,38,FALSE)</f>
        <v>0.20844327176781002</v>
      </c>
      <c r="AM5" s="179">
        <f>VLOOKUP($A$5,$A$7:$CP$70,39,FALSE)</f>
        <v>2.7704485488126648E-2</v>
      </c>
      <c r="AN5" s="182">
        <f>VLOOKUP($A$5,$A$7:$CP$70,40,FALSE)</f>
        <v>0.43403693931398418</v>
      </c>
      <c r="AO5" s="180">
        <f>VLOOKUP($A$5,$A$7:$CP$70,41,FALSE)</f>
        <v>0.56596306068601587</v>
      </c>
      <c r="AP5" s="192">
        <f>VLOOKUP($A$5,$A$7:$CP$70,42,FALSE)</f>
        <v>2131</v>
      </c>
      <c r="AQ5" s="189">
        <f>VLOOKUP($A$5,$A$7:$CP$70,43,FALSE)</f>
        <v>493</v>
      </c>
      <c r="AR5" s="189">
        <f>VLOOKUP($A$5,$A$7:$CP$70,44,FALSE)</f>
        <v>7</v>
      </c>
      <c r="AS5" s="189">
        <f>VLOOKUP($A$5,$A$7:$CP$70,45,FALSE)</f>
        <v>0</v>
      </c>
      <c r="AT5" s="189">
        <f>VLOOKUP($A$5,$A$7:$CP$70,46,FALSE)</f>
        <v>138</v>
      </c>
      <c r="AU5" s="189">
        <f>VLOOKUP($A$5,$A$7:$CP$70,47,FALSE)</f>
        <v>302</v>
      </c>
      <c r="AV5" s="189">
        <f>VLOOKUP($A$5,$A$7:$CP$70,48,FALSE)</f>
        <v>10</v>
      </c>
      <c r="AW5" s="189">
        <f>VLOOKUP($A$5,$A$7:$CP$70,49,FALSE)</f>
        <v>8</v>
      </c>
      <c r="AX5" s="189">
        <f>VLOOKUP($A$5,$A$7:$CP$70,50,FALSE)</f>
        <v>71</v>
      </c>
      <c r="AY5" s="189">
        <f>VLOOKUP($A$5,$A$7:$CP$70,51,FALSE)</f>
        <v>271</v>
      </c>
      <c r="AZ5" s="189">
        <f>VLOOKUP($A$5,$A$7:$CP$70,52,FALSE)</f>
        <v>34</v>
      </c>
      <c r="BA5" s="189">
        <f>VLOOKUP($A$5,$A$7:$CP$70,53,FALSE)</f>
        <v>9</v>
      </c>
      <c r="BB5" s="189">
        <f>VLOOKUP($A$5,$A$7:$CP$70,54,FALSE)</f>
        <v>27</v>
      </c>
      <c r="BC5" s="189">
        <f>VLOOKUP($A$5,$A$7:$CP$70,55,FALSE)</f>
        <v>81</v>
      </c>
      <c r="BD5" s="189">
        <f>VLOOKUP($A$5,$A$7:$CP$70,56,FALSE)</f>
        <v>73</v>
      </c>
      <c r="BE5" s="189">
        <f>VLOOKUP($A$5,$A$7:$CP$70,57,FALSE)</f>
        <v>59</v>
      </c>
      <c r="BF5" s="189">
        <f>VLOOKUP($A$5,$A$7:$CP$70,58,FALSE)</f>
        <v>295</v>
      </c>
      <c r="BG5" s="189">
        <f>VLOOKUP($A$5,$A$7:$CP$70,59,FALSE)</f>
        <v>33</v>
      </c>
      <c r="BH5" s="189">
        <f>VLOOKUP($A$5,$A$7:$CP$70,60,FALSE)</f>
        <v>113</v>
      </c>
      <c r="BI5" s="189">
        <f>VLOOKUP($A$5,$A$7:$CP$70,61,FALSE)</f>
        <v>89</v>
      </c>
      <c r="BJ5" s="178">
        <f>VLOOKUP($A$5,$A$7:$CP$70,62,FALSE)</f>
        <v>0.23134678554669169</v>
      </c>
      <c r="BK5" s="179">
        <f>VLOOKUP($A$5,$A$7:$CP$70,63,FALSE)</f>
        <v>3.2848427968090099E-3</v>
      </c>
      <c r="BL5" s="179">
        <f>VLOOKUP($A$5,$A$7:$CP$70,64,FALSE)</f>
        <v>0</v>
      </c>
      <c r="BM5" s="179">
        <f>VLOOKUP($A$5,$A$7:$CP$70,65,FALSE)</f>
        <v>6.4758329422806196E-2</v>
      </c>
      <c r="BN5" s="179">
        <f>VLOOKUP($A$5,$A$7:$CP$70,66,FALSE)</f>
        <v>0.14171750351947443</v>
      </c>
      <c r="BO5" s="179">
        <f>VLOOKUP($A$5,$A$7:$CP$70,67,FALSE)</f>
        <v>4.692632566870014E-3</v>
      </c>
      <c r="BP5" s="179">
        <f>VLOOKUP($A$5,$A$7:$CP$70,68,FALSE)</f>
        <v>3.7541060534960111E-3</v>
      </c>
      <c r="BQ5" s="179">
        <f>VLOOKUP($A$5,$A$7:$CP$70,69,FALSE)</f>
        <v>3.3317691224777103E-2</v>
      </c>
      <c r="BR5" s="179">
        <f>VLOOKUP($A$5,$A$7:$CP$70,70,FALSE)</f>
        <v>0.12717034256217738</v>
      </c>
      <c r="BS5" s="179">
        <f>VLOOKUP($A$5,$A$7:$CP$70,71,FALSE)</f>
        <v>1.5954950727358048E-2</v>
      </c>
      <c r="BT5" s="179">
        <f>VLOOKUP($A$5,$A$7:$CP$70,72,FALSE)</f>
        <v>4.2233693101830123E-3</v>
      </c>
      <c r="BU5" s="179">
        <f>VLOOKUP($A$5,$A$7:$CP$70,73,FALSE)</f>
        <v>1.2670107930549039E-2</v>
      </c>
      <c r="BV5" s="179">
        <f>VLOOKUP($A$5,$A$7:$CP$70,74,FALSE)</f>
        <v>3.8010323791647115E-2</v>
      </c>
      <c r="BW5" s="179">
        <f>VLOOKUP($A$5,$A$7:$CP$70,75,FALSE)</f>
        <v>3.4256217738151101E-2</v>
      </c>
      <c r="BX5" s="179">
        <f>VLOOKUP($A$5,$A$7:$CP$70,76,FALSE)</f>
        <v>2.7686532144533083E-2</v>
      </c>
      <c r="BY5" s="179">
        <f>VLOOKUP($A$5,$A$7:$CP$70,77,FALSE)</f>
        <v>0.13843266072266541</v>
      </c>
      <c r="BZ5" s="179">
        <f>VLOOKUP($A$5,$A$7:$CP$70,78,FALSE)</f>
        <v>1.5485687470671047E-2</v>
      </c>
      <c r="CA5" s="179">
        <f>VLOOKUP($A$5,$A$7:$CP$70,79,FALSE)</f>
        <v>5.3026748005631161E-2</v>
      </c>
      <c r="CB5" s="180">
        <f>VLOOKUP($A$5,$A$7:$CP$70,80,FALSE)</f>
        <v>4.1764429845143128E-2</v>
      </c>
      <c r="CC5" s="188">
        <f>VLOOKUP($A$5,$A$7:$CP$70,81,FALSE)</f>
        <v>2131</v>
      </c>
      <c r="CD5" s="190">
        <f>VLOOKUP($A$5,$A$7:$CP$70,82,FALSE)</f>
        <v>1332</v>
      </c>
      <c r="CE5" s="189">
        <f>VLOOKUP($A$5,$A$7:$CP$70,83,FALSE)</f>
        <v>761</v>
      </c>
      <c r="CF5" s="191">
        <f>VLOOKUP($A$5,$A$7:$CP$70,84,FALSE)</f>
        <v>13</v>
      </c>
      <c r="CG5" s="188">
        <f>VLOOKUP($A$5,$A$7:$CP$70,85,FALSE)</f>
        <v>163</v>
      </c>
      <c r="CH5" s="189">
        <f>VLOOKUP($A$5,$A$7:$CP$70,86,FALSE)</f>
        <v>34</v>
      </c>
      <c r="CI5" s="189">
        <f>VLOOKUP($A$5,$A$7:$CP$70,87,FALSE)</f>
        <v>120</v>
      </c>
      <c r="CJ5" s="191">
        <f>VLOOKUP($A$5,$A$7:$CP$70,88,FALSE)</f>
        <v>2</v>
      </c>
      <c r="CK5" s="178">
        <f>VLOOKUP($A$5,$A$7:$CP$70,89,FALSE)</f>
        <v>0.62505865790708592</v>
      </c>
      <c r="CL5" s="179">
        <f>VLOOKUP($A$5,$A$7:$CP$70,90,FALSE)</f>
        <v>0.35710933833880809</v>
      </c>
      <c r="CM5" s="180">
        <f>VLOOKUP($A$5,$A$7:$CP$70,91,FALSE)</f>
        <v>6.1004223369310181E-3</v>
      </c>
      <c r="CN5" s="178">
        <f>VLOOKUP($A$5,$A$7:$CP$70,92,FALSE)</f>
        <v>0.20858895705521471</v>
      </c>
      <c r="CO5" s="179">
        <f>VLOOKUP($A$5,$A$7:$CP$70,93,FALSE)</f>
        <v>0.73619631901840488</v>
      </c>
      <c r="CP5" s="180">
        <f>VLOOKUP($A$5,$A$7:$CP$70,94,FALSE)</f>
        <v>1.2269938650306749E-2</v>
      </c>
    </row>
    <row r="6" spans="1:94" s="241" customFormat="1" x14ac:dyDescent="0.15"/>
    <row r="7" spans="1:94" x14ac:dyDescent="0.15">
      <c r="A7" t="s">
        <v>429</v>
      </c>
      <c r="B7" t="s">
        <v>430</v>
      </c>
      <c r="C7" t="s">
        <v>431</v>
      </c>
      <c r="D7">
        <v>1814</v>
      </c>
      <c r="E7">
        <v>1106</v>
      </c>
      <c r="F7">
        <v>338</v>
      </c>
      <c r="G7">
        <v>332</v>
      </c>
      <c r="H7">
        <v>0.6097023153252481</v>
      </c>
      <c r="I7">
        <v>0.18632855567805953</v>
      </c>
      <c r="J7">
        <v>0.18302094818081588</v>
      </c>
      <c r="K7">
        <v>4495</v>
      </c>
      <c r="L7">
        <v>695</v>
      </c>
      <c r="M7">
        <v>1280</v>
      </c>
      <c r="N7">
        <v>2365</v>
      </c>
      <c r="O7">
        <v>0.1546162402669633</v>
      </c>
      <c r="P7">
        <v>0.28476084538375973</v>
      </c>
      <c r="Q7">
        <v>0.5261401557285873</v>
      </c>
      <c r="R7">
        <v>4495</v>
      </c>
      <c r="S7">
        <v>359</v>
      </c>
      <c r="T7">
        <v>220</v>
      </c>
      <c r="U7">
        <v>158</v>
      </c>
      <c r="V7">
        <v>21</v>
      </c>
      <c r="W7">
        <v>758</v>
      </c>
      <c r="X7">
        <v>2103</v>
      </c>
      <c r="Y7">
        <v>138</v>
      </c>
      <c r="Z7">
        <v>107</v>
      </c>
      <c r="AA7">
        <v>83</v>
      </c>
      <c r="AB7">
        <v>1</v>
      </c>
      <c r="AC7">
        <v>329</v>
      </c>
      <c r="AD7">
        <v>2392</v>
      </c>
      <c r="AE7">
        <v>221</v>
      </c>
      <c r="AF7">
        <v>113</v>
      </c>
      <c r="AG7">
        <v>75</v>
      </c>
      <c r="AH7">
        <v>20</v>
      </c>
      <c r="AI7">
        <v>429</v>
      </c>
      <c r="AJ7">
        <v>0.16863181312569522</v>
      </c>
      <c r="AK7">
        <v>0.29023746701846964</v>
      </c>
      <c r="AL7">
        <v>0.20844327176781002</v>
      </c>
      <c r="AM7">
        <v>2.7704485488126648E-2</v>
      </c>
      <c r="AN7">
        <v>0.43403693931398418</v>
      </c>
      <c r="AO7">
        <v>0.56596306068601587</v>
      </c>
      <c r="AP7">
        <v>2131</v>
      </c>
      <c r="AQ7">
        <v>493</v>
      </c>
      <c r="AR7">
        <v>7</v>
      </c>
      <c r="AS7">
        <v>0</v>
      </c>
      <c r="AT7">
        <v>138</v>
      </c>
      <c r="AU7">
        <v>302</v>
      </c>
      <c r="AV7">
        <v>10</v>
      </c>
      <c r="AW7">
        <v>8</v>
      </c>
      <c r="AX7">
        <v>71</v>
      </c>
      <c r="AY7">
        <v>271</v>
      </c>
      <c r="AZ7">
        <v>34</v>
      </c>
      <c r="BA7">
        <v>9</v>
      </c>
      <c r="BB7">
        <v>27</v>
      </c>
      <c r="BC7">
        <v>81</v>
      </c>
      <c r="BD7">
        <v>73</v>
      </c>
      <c r="BE7">
        <v>59</v>
      </c>
      <c r="BF7">
        <v>295</v>
      </c>
      <c r="BG7">
        <v>33</v>
      </c>
      <c r="BH7">
        <v>113</v>
      </c>
      <c r="BI7">
        <v>89</v>
      </c>
      <c r="BJ7">
        <v>0.23134678554669169</v>
      </c>
      <c r="BK7">
        <v>3.2848427968090099E-3</v>
      </c>
      <c r="BL7">
        <v>0</v>
      </c>
      <c r="BM7">
        <v>6.4758329422806196E-2</v>
      </c>
      <c r="BN7">
        <v>0.14171750351947443</v>
      </c>
      <c r="BO7">
        <v>4.692632566870014E-3</v>
      </c>
      <c r="BP7">
        <v>3.7541060534960111E-3</v>
      </c>
      <c r="BQ7">
        <v>3.3317691224777103E-2</v>
      </c>
      <c r="BR7">
        <v>0.12717034256217738</v>
      </c>
      <c r="BS7">
        <v>1.5954950727358048E-2</v>
      </c>
      <c r="BT7">
        <v>4.2233693101830123E-3</v>
      </c>
      <c r="BU7">
        <v>1.2670107930549039E-2</v>
      </c>
      <c r="BV7">
        <v>3.8010323791647115E-2</v>
      </c>
      <c r="BW7">
        <v>3.4256217738151101E-2</v>
      </c>
      <c r="BX7">
        <v>2.7686532144533083E-2</v>
      </c>
      <c r="BY7">
        <v>0.13843266072266541</v>
      </c>
      <c r="BZ7">
        <v>1.5485687470671047E-2</v>
      </c>
      <c r="CA7">
        <v>5.3026748005631161E-2</v>
      </c>
      <c r="CB7">
        <v>4.1764429845143128E-2</v>
      </c>
      <c r="CC7">
        <v>2131</v>
      </c>
      <c r="CD7">
        <v>1332</v>
      </c>
      <c r="CE7">
        <v>761</v>
      </c>
      <c r="CF7">
        <v>13</v>
      </c>
      <c r="CG7">
        <v>163</v>
      </c>
      <c r="CH7">
        <v>34</v>
      </c>
      <c r="CI7">
        <v>120</v>
      </c>
      <c r="CJ7">
        <v>2</v>
      </c>
      <c r="CK7">
        <v>0.62505865790708592</v>
      </c>
      <c r="CL7">
        <v>0.35710933833880809</v>
      </c>
      <c r="CM7">
        <v>6.1004223369310181E-3</v>
      </c>
      <c r="CN7">
        <v>0.20858895705521471</v>
      </c>
      <c r="CO7">
        <v>0.73619631901840488</v>
      </c>
      <c r="CP7">
        <v>1.2269938650306749E-2</v>
      </c>
    </row>
    <row r="8" spans="1:94" x14ac:dyDescent="0.15">
      <c r="A8" t="s">
        <v>432</v>
      </c>
      <c r="B8" t="s">
        <v>430</v>
      </c>
      <c r="C8" t="s">
        <v>433</v>
      </c>
      <c r="D8">
        <v>1532</v>
      </c>
      <c r="E8">
        <v>935</v>
      </c>
      <c r="F8">
        <v>265</v>
      </c>
      <c r="G8">
        <v>276</v>
      </c>
      <c r="H8">
        <v>0.61031331592689297</v>
      </c>
      <c r="I8">
        <v>0.17297650130548303</v>
      </c>
      <c r="J8">
        <v>0.18015665796344649</v>
      </c>
      <c r="K8">
        <v>3808</v>
      </c>
      <c r="L8">
        <v>649</v>
      </c>
      <c r="M8">
        <v>1032</v>
      </c>
      <c r="N8">
        <v>2065</v>
      </c>
      <c r="O8">
        <v>0.17043067226890757</v>
      </c>
      <c r="P8">
        <v>0.27100840336134452</v>
      </c>
      <c r="Q8">
        <v>0.54227941176470584</v>
      </c>
      <c r="R8">
        <v>3808</v>
      </c>
      <c r="S8">
        <v>286</v>
      </c>
      <c r="T8">
        <v>224</v>
      </c>
      <c r="U8">
        <v>73</v>
      </c>
      <c r="V8">
        <v>22</v>
      </c>
      <c r="W8">
        <v>605</v>
      </c>
      <c r="X8">
        <v>1804</v>
      </c>
      <c r="Y8">
        <v>125</v>
      </c>
      <c r="Z8">
        <v>109</v>
      </c>
      <c r="AA8">
        <v>42</v>
      </c>
      <c r="AB8">
        <v>13</v>
      </c>
      <c r="AC8">
        <v>289</v>
      </c>
      <c r="AD8">
        <v>2004</v>
      </c>
      <c r="AE8">
        <v>161</v>
      </c>
      <c r="AF8">
        <v>115</v>
      </c>
      <c r="AG8">
        <v>31</v>
      </c>
      <c r="AH8">
        <v>9</v>
      </c>
      <c r="AI8">
        <v>316</v>
      </c>
      <c r="AJ8">
        <v>0.15887605042016806</v>
      </c>
      <c r="AK8">
        <v>0.3702479338842975</v>
      </c>
      <c r="AL8">
        <v>0.12066115702479339</v>
      </c>
      <c r="AM8">
        <v>3.6363636363636362E-2</v>
      </c>
      <c r="AN8">
        <v>0.47768595041322315</v>
      </c>
      <c r="AO8">
        <v>0.52231404958677685</v>
      </c>
      <c r="AP8">
        <v>1887</v>
      </c>
      <c r="AQ8">
        <v>425</v>
      </c>
      <c r="AR8">
        <v>41</v>
      </c>
      <c r="AS8">
        <v>1</v>
      </c>
      <c r="AT8">
        <v>116</v>
      </c>
      <c r="AU8">
        <v>309</v>
      </c>
      <c r="AV8">
        <v>17</v>
      </c>
      <c r="AW8">
        <v>4</v>
      </c>
      <c r="AX8">
        <v>91</v>
      </c>
      <c r="AY8">
        <v>207</v>
      </c>
      <c r="AZ8">
        <v>19</v>
      </c>
      <c r="BA8">
        <v>3</v>
      </c>
      <c r="BB8">
        <v>20</v>
      </c>
      <c r="BC8">
        <v>65</v>
      </c>
      <c r="BD8">
        <v>50</v>
      </c>
      <c r="BE8">
        <v>29</v>
      </c>
      <c r="BF8">
        <v>259</v>
      </c>
      <c r="BG8">
        <v>43</v>
      </c>
      <c r="BH8">
        <v>98</v>
      </c>
      <c r="BI8">
        <v>72</v>
      </c>
      <c r="BJ8">
        <v>0.22522522522522523</v>
      </c>
      <c r="BK8">
        <v>2.1727609962904081E-2</v>
      </c>
      <c r="BL8">
        <v>5.2994170641229468E-4</v>
      </c>
      <c r="BM8">
        <v>6.1473237943826177E-2</v>
      </c>
      <c r="BN8">
        <v>0.16375198728139906</v>
      </c>
      <c r="BO8">
        <v>9.0090090090090089E-3</v>
      </c>
      <c r="BP8">
        <v>2.1197668256491787E-3</v>
      </c>
      <c r="BQ8">
        <v>4.8224695283518811E-2</v>
      </c>
      <c r="BR8">
        <v>0.10969793322734499</v>
      </c>
      <c r="BS8">
        <v>1.0068892421833599E-2</v>
      </c>
      <c r="BT8">
        <v>1.589825119236884E-3</v>
      </c>
      <c r="BU8">
        <v>1.0598834128245893E-2</v>
      </c>
      <c r="BV8">
        <v>3.4446210916799155E-2</v>
      </c>
      <c r="BW8">
        <v>2.6497085320614733E-2</v>
      </c>
      <c r="BX8">
        <v>1.5368309485956544E-2</v>
      </c>
      <c r="BY8">
        <v>0.13725490196078433</v>
      </c>
      <c r="BZ8">
        <v>2.2787493375728669E-2</v>
      </c>
      <c r="CA8">
        <v>5.1934287228404874E-2</v>
      </c>
      <c r="CB8">
        <v>3.8155802861685212E-2</v>
      </c>
      <c r="CC8">
        <v>1887</v>
      </c>
      <c r="CD8">
        <v>1120</v>
      </c>
      <c r="CE8">
        <v>733</v>
      </c>
      <c r="CF8">
        <v>14</v>
      </c>
      <c r="CG8">
        <v>134</v>
      </c>
      <c r="CH8">
        <v>34</v>
      </c>
      <c r="CI8">
        <v>94</v>
      </c>
      <c r="CJ8">
        <v>4</v>
      </c>
      <c r="CK8">
        <v>0.59353471118177004</v>
      </c>
      <c r="CL8">
        <v>0.38844727080021196</v>
      </c>
      <c r="CM8">
        <v>7.4191838897721251E-3</v>
      </c>
      <c r="CN8">
        <v>0.2537313432835821</v>
      </c>
      <c r="CO8">
        <v>0.70149253731343286</v>
      </c>
      <c r="CP8">
        <v>2.9850746268656716E-2</v>
      </c>
    </row>
    <row r="9" spans="1:94" x14ac:dyDescent="0.15">
      <c r="A9" t="s">
        <v>434</v>
      </c>
      <c r="B9" t="s">
        <v>430</v>
      </c>
      <c r="C9" t="s">
        <v>435</v>
      </c>
      <c r="D9">
        <v>606</v>
      </c>
      <c r="E9">
        <v>419</v>
      </c>
      <c r="F9">
        <v>127</v>
      </c>
      <c r="G9">
        <v>90</v>
      </c>
      <c r="H9">
        <v>0.6914191419141914</v>
      </c>
      <c r="I9">
        <v>0.20957095709570958</v>
      </c>
      <c r="J9">
        <v>0.14851485148514851</v>
      </c>
      <c r="K9">
        <v>1603</v>
      </c>
      <c r="L9">
        <v>337</v>
      </c>
      <c r="M9">
        <v>301</v>
      </c>
      <c r="N9">
        <v>943</v>
      </c>
      <c r="O9">
        <v>0.21023081721771678</v>
      </c>
      <c r="P9">
        <v>0.18777292576419213</v>
      </c>
      <c r="Q9">
        <v>0.58827199001871489</v>
      </c>
      <c r="R9">
        <v>1603</v>
      </c>
      <c r="S9">
        <v>69</v>
      </c>
      <c r="T9">
        <v>58</v>
      </c>
      <c r="U9">
        <v>25</v>
      </c>
      <c r="V9">
        <v>6</v>
      </c>
      <c r="W9">
        <v>158</v>
      </c>
      <c r="X9">
        <v>770</v>
      </c>
      <c r="Y9">
        <v>33</v>
      </c>
      <c r="Z9">
        <v>25</v>
      </c>
      <c r="AA9">
        <v>12</v>
      </c>
      <c r="AB9">
        <v>6</v>
      </c>
      <c r="AC9">
        <v>76</v>
      </c>
      <c r="AD9">
        <v>833</v>
      </c>
      <c r="AE9">
        <v>36</v>
      </c>
      <c r="AF9">
        <v>33</v>
      </c>
      <c r="AG9">
        <v>13</v>
      </c>
      <c r="AH9">
        <v>0</v>
      </c>
      <c r="AI9">
        <v>82</v>
      </c>
      <c r="AJ9">
        <v>9.8565190268247033E-2</v>
      </c>
      <c r="AK9">
        <v>0.36708860759493672</v>
      </c>
      <c r="AL9">
        <v>0.15822784810126583</v>
      </c>
      <c r="AM9">
        <v>3.7974683544303799E-2</v>
      </c>
      <c r="AN9">
        <v>0.48101265822784811</v>
      </c>
      <c r="AO9">
        <v>0.51898734177215189</v>
      </c>
      <c r="AP9">
        <v>877</v>
      </c>
      <c r="AQ9">
        <v>321</v>
      </c>
      <c r="AR9">
        <v>2</v>
      </c>
      <c r="AS9">
        <v>0</v>
      </c>
      <c r="AT9">
        <v>66</v>
      </c>
      <c r="AU9">
        <v>146</v>
      </c>
      <c r="AV9">
        <v>3</v>
      </c>
      <c r="AW9">
        <v>1</v>
      </c>
      <c r="AX9">
        <v>37</v>
      </c>
      <c r="AY9">
        <v>73</v>
      </c>
      <c r="AZ9">
        <v>8</v>
      </c>
      <c r="BA9">
        <v>1</v>
      </c>
      <c r="BB9">
        <v>4</v>
      </c>
      <c r="BC9">
        <v>19</v>
      </c>
      <c r="BD9">
        <v>11</v>
      </c>
      <c r="BE9">
        <v>14</v>
      </c>
      <c r="BF9">
        <v>103</v>
      </c>
      <c r="BG9">
        <v>14</v>
      </c>
      <c r="BH9">
        <v>29</v>
      </c>
      <c r="BI9">
        <v>17</v>
      </c>
      <c r="BJ9">
        <v>0.36602052451539341</v>
      </c>
      <c r="BK9">
        <v>2.2805017103762829E-3</v>
      </c>
      <c r="BL9">
        <v>0</v>
      </c>
      <c r="BM9">
        <v>7.5256556442417327E-2</v>
      </c>
      <c r="BN9">
        <v>0.16647662485746864</v>
      </c>
      <c r="BO9">
        <v>3.4207525655644243E-3</v>
      </c>
      <c r="BP9">
        <v>1.1402508551881414E-3</v>
      </c>
      <c r="BQ9">
        <v>4.2189281641961229E-2</v>
      </c>
      <c r="BR9">
        <v>8.3238312428734321E-2</v>
      </c>
      <c r="BS9">
        <v>9.1220068415051314E-3</v>
      </c>
      <c r="BT9">
        <v>1.1402508551881414E-3</v>
      </c>
      <c r="BU9">
        <v>4.5610034207525657E-3</v>
      </c>
      <c r="BV9">
        <v>2.1664766248574687E-2</v>
      </c>
      <c r="BW9">
        <v>1.2542759407069556E-2</v>
      </c>
      <c r="BX9">
        <v>1.596351197263398E-2</v>
      </c>
      <c r="BY9">
        <v>0.11744583808437856</v>
      </c>
      <c r="BZ9">
        <v>1.596351197263398E-2</v>
      </c>
      <c r="CA9">
        <v>3.3067274800456098E-2</v>
      </c>
      <c r="CB9">
        <v>1.9384264538198404E-2</v>
      </c>
      <c r="CC9">
        <v>877</v>
      </c>
      <c r="CD9">
        <v>589</v>
      </c>
      <c r="CE9">
        <v>276</v>
      </c>
      <c r="CF9">
        <v>5</v>
      </c>
      <c r="CG9">
        <v>49</v>
      </c>
      <c r="CH9">
        <v>13</v>
      </c>
      <c r="CI9">
        <v>34</v>
      </c>
      <c r="CJ9">
        <v>2</v>
      </c>
      <c r="CK9">
        <v>0.67160775370581527</v>
      </c>
      <c r="CL9">
        <v>0.31470923603192702</v>
      </c>
      <c r="CM9">
        <v>5.7012542759407071E-3</v>
      </c>
      <c r="CN9">
        <v>0.26530612244897961</v>
      </c>
      <c r="CO9">
        <v>0.69387755102040816</v>
      </c>
      <c r="CP9">
        <v>4.0816326530612242E-2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0" t="str">
        <f>管理者入力シート!B4</f>
        <v>都農小学校区</v>
      </c>
      <c r="C2" s="250"/>
      <c r="D2" s="250"/>
      <c r="E2" s="249" t="s">
        <v>225</v>
      </c>
      <c r="F2" s="249"/>
      <c r="G2" s="249"/>
      <c r="H2" s="249"/>
      <c r="I2" s="249"/>
    </row>
    <row r="3" spans="1:10" ht="22.5" customHeight="1" x14ac:dyDescent="0.15">
      <c r="B3" s="250"/>
      <c r="C3" s="250"/>
      <c r="D3" s="250"/>
      <c r="E3" s="249"/>
      <c r="F3" s="249"/>
      <c r="G3" s="249"/>
      <c r="H3" s="249"/>
      <c r="I3" s="249"/>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5">
        <f>管理者用グラフシート!E6</f>
        <v>4492</v>
      </c>
      <c r="F6" s="255"/>
      <c r="G6" s="20" t="s">
        <v>54</v>
      </c>
    </row>
    <row r="7" spans="1:10" ht="22.5" customHeight="1" x14ac:dyDescent="0.15">
      <c r="A7" s="248">
        <f>管理者用グラフシート!B4</f>
        <v>2010</v>
      </c>
      <c r="B7" s="248"/>
      <c r="C7" s="82" t="s">
        <v>226</v>
      </c>
      <c r="D7" s="247">
        <f>E6-管理者用グラフシート!E4</f>
        <v>-441</v>
      </c>
      <c r="E7" s="247"/>
      <c r="F7" s="20" t="s">
        <v>356</v>
      </c>
    </row>
    <row r="8" spans="1:10" ht="22.5" customHeight="1" x14ac:dyDescent="0.15">
      <c r="A8" s="256" t="s">
        <v>380</v>
      </c>
      <c r="B8" s="256"/>
      <c r="C8" s="203">
        <f>管理者用グラフシート!C6-管理者用グラフシート!C4</f>
        <v>-193</v>
      </c>
      <c r="D8" s="206" t="s">
        <v>381</v>
      </c>
      <c r="F8" s="203">
        <f>管理者用グラフシート!D6-管理者用グラフシート!D4</f>
        <v>-248</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225</v>
      </c>
      <c r="G36" s="252"/>
      <c r="H36" s="20" t="s">
        <v>54</v>
      </c>
    </row>
    <row r="37" spans="1:9" ht="22.5" customHeight="1" x14ac:dyDescent="0.15">
      <c r="A37" s="20" t="s">
        <v>66</v>
      </c>
      <c r="F37" s="252">
        <f>管理者用グラフシート!C16</f>
        <v>111</v>
      </c>
      <c r="G37" s="252"/>
      <c r="H37" s="20" t="s">
        <v>54</v>
      </c>
    </row>
    <row r="38" spans="1:9" ht="22.5" customHeight="1" x14ac:dyDescent="0.15">
      <c r="D38" s="254"/>
      <c r="E38" s="254"/>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47">
        <f>F36-管理者用グラフシート!C10</f>
        <v>-58</v>
      </c>
      <c r="E40" s="247"/>
      <c r="F40" s="20" t="s">
        <v>60</v>
      </c>
    </row>
    <row r="41" spans="1:9" ht="22.5" customHeight="1" x14ac:dyDescent="0.15">
      <c r="B41" s="20" t="s">
        <v>69</v>
      </c>
      <c r="D41" s="247">
        <f>F37-管理者用グラフシート!C14</f>
        <v>-37</v>
      </c>
      <c r="E41" s="247"/>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1760</v>
      </c>
      <c r="D70" s="252"/>
      <c r="E70" s="20" t="s">
        <v>76</v>
      </c>
      <c r="F70" s="37"/>
      <c r="G70" s="251">
        <f>管理者用グラフシート!C32</f>
        <v>0.39</v>
      </c>
      <c r="H70" s="251"/>
      <c r="I70" s="20" t="s">
        <v>77</v>
      </c>
    </row>
    <row r="71" spans="1:9" ht="22.5" customHeight="1" x14ac:dyDescent="0.15">
      <c r="A71" s="20" t="s">
        <v>78</v>
      </c>
      <c r="C71" s="252">
        <f>管理者用グラフシート!C26</f>
        <v>956</v>
      </c>
      <c r="D71" s="252"/>
      <c r="E71" s="20" t="s">
        <v>76</v>
      </c>
      <c r="F71" s="37"/>
      <c r="G71" s="251">
        <f>管理者用グラフシート!C36</f>
        <v>0.21</v>
      </c>
      <c r="H71" s="251"/>
      <c r="I71" s="20" t="s">
        <v>77</v>
      </c>
    </row>
    <row r="72" spans="1:9" ht="22.5" customHeight="1" x14ac:dyDescent="0.15">
      <c r="D72" s="254"/>
      <c r="E72" s="254"/>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52"/>
      <c r="G74" s="252"/>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3"/>
      <c r="G75" s="253"/>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-51</v>
      </c>
      <c r="G135" s="207" t="s">
        <v>386</v>
      </c>
      <c r="H135" s="111"/>
    </row>
    <row r="136" spans="1:8" ht="22.5" customHeight="1" x14ac:dyDescent="0.15">
      <c r="A136" s="35" t="s">
        <v>387</v>
      </c>
      <c r="C136" s="205">
        <f>SUM(管理者用グラフシート!B95:C96)-SUM(管理者用グラフシート!B47:C48)</f>
        <v>-91</v>
      </c>
      <c r="D136" s="20" t="s">
        <v>388</v>
      </c>
      <c r="E136" s="34"/>
      <c r="F136" s="205">
        <f>SUM(管理者用グラフシート!B97:C98)-SUM(管理者用グラフシート!B49:C50)</f>
        <v>32</v>
      </c>
      <c r="G136" s="20" t="s">
        <v>386</v>
      </c>
    </row>
    <row r="137" spans="1:8" ht="18.75" x14ac:dyDescent="0.15">
      <c r="A137" s="20" t="s">
        <v>389</v>
      </c>
      <c r="C137" s="205">
        <f>SUM(管理者用グラフシート!B99:C100)-SUM(管理者用グラフシート!B51:C52)</f>
        <v>-237</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0" t="str">
        <f>管理者入力シート!B4</f>
        <v>都農小学校区</v>
      </c>
      <c r="B2" s="250"/>
      <c r="C2" s="250"/>
      <c r="D2" s="249" t="s">
        <v>230</v>
      </c>
      <c r="E2" s="249"/>
      <c r="F2" s="249"/>
      <c r="G2" s="249"/>
      <c r="H2" s="249"/>
      <c r="I2" s="249"/>
    </row>
    <row r="3" spans="1:9" ht="27.75" customHeight="1" x14ac:dyDescent="0.15">
      <c r="A3" s="250"/>
      <c r="B3" s="250"/>
      <c r="C3" s="250"/>
      <c r="D3" s="249"/>
      <c r="E3" s="249"/>
      <c r="F3" s="249"/>
      <c r="G3" s="249"/>
      <c r="H3" s="249"/>
      <c r="I3" s="249"/>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52">
        <f>管理者用グラフシート!K8</f>
        <v>3974</v>
      </c>
      <c r="E6" s="252"/>
      <c r="F6" s="20" t="s">
        <v>231</v>
      </c>
      <c r="H6" s="34"/>
      <c r="I6" s="34"/>
    </row>
    <row r="7" spans="1:9" ht="22.5" customHeight="1" x14ac:dyDescent="0.15">
      <c r="A7" s="248">
        <f>管理者入力シート!B5</f>
        <v>2020</v>
      </c>
      <c r="B7" s="248"/>
      <c r="C7" s="195" t="s">
        <v>362</v>
      </c>
      <c r="D7" s="247">
        <f>D6-現況シート!E6</f>
        <v>-518</v>
      </c>
      <c r="E7" s="247"/>
      <c r="F7" s="20" t="s">
        <v>232</v>
      </c>
      <c r="I7" s="34"/>
    </row>
    <row r="8" spans="1:9" ht="22.5" customHeight="1" x14ac:dyDescent="0.15">
      <c r="A8" s="256" t="s">
        <v>397</v>
      </c>
      <c r="B8" s="256"/>
      <c r="C8" s="205">
        <f>管理者用グラフシート!I8-管理者用グラフシート!C6</f>
        <v>-210</v>
      </c>
      <c r="D8" s="206" t="s">
        <v>398</v>
      </c>
      <c r="F8" s="257">
        <f>管理者用グラフシート!J8-管理者用グラフシート!D6</f>
        <v>-308</v>
      </c>
      <c r="G8" s="257"/>
      <c r="H8" s="20" t="s">
        <v>399</v>
      </c>
    </row>
    <row r="10" spans="1:9" ht="22.5" customHeight="1" x14ac:dyDescent="0.15">
      <c r="A10" s="248">
        <f>管理者入力シート!B11</f>
        <v>2040</v>
      </c>
      <c r="B10" s="248"/>
      <c r="C10" s="20" t="s">
        <v>361</v>
      </c>
      <c r="D10" s="252">
        <f>管理者用グラフシート!K10</f>
        <v>3391</v>
      </c>
      <c r="E10" s="252"/>
      <c r="F10" s="20" t="s">
        <v>231</v>
      </c>
      <c r="H10" s="34"/>
    </row>
    <row r="11" spans="1:9" ht="22.5" customHeight="1" x14ac:dyDescent="0.15">
      <c r="A11" s="248">
        <f>管理者入力シート!B5</f>
        <v>2020</v>
      </c>
      <c r="B11" s="248"/>
      <c r="C11" s="195" t="s">
        <v>362</v>
      </c>
      <c r="D11" s="247">
        <f>D10-現況シート!E6</f>
        <v>-1101</v>
      </c>
      <c r="E11" s="247"/>
      <c r="F11" s="20" t="s">
        <v>232</v>
      </c>
      <c r="H11" s="34"/>
    </row>
    <row r="12" spans="1:9" ht="22.5" customHeight="1" x14ac:dyDescent="0.15">
      <c r="A12" s="256" t="s">
        <v>397</v>
      </c>
      <c r="B12" s="256"/>
      <c r="C12" s="205">
        <f>管理者用グラフシート!I10-管理者用グラフシート!C6</f>
        <v>-474</v>
      </c>
      <c r="D12" s="206" t="s">
        <v>398</v>
      </c>
      <c r="F12" s="257">
        <f>管理者用グラフシート!J10-管理者用グラフシート!D6</f>
        <v>-627</v>
      </c>
      <c r="G12" s="257"/>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5"/>
      <c r="I35" s="254"/>
    </row>
    <row r="36" spans="1:9" ht="22.5" customHeight="1" x14ac:dyDescent="0.15">
      <c r="A36" s="20" t="s">
        <v>237</v>
      </c>
      <c r="F36" s="252">
        <f>管理者用グラフシート!I20</f>
        <v>188</v>
      </c>
      <c r="G36" s="252"/>
      <c r="H36" s="82" t="s">
        <v>233</v>
      </c>
      <c r="I36" s="34"/>
    </row>
    <row r="37" spans="1:9" ht="22.5" customHeight="1" x14ac:dyDescent="0.15">
      <c r="A37" s="20" t="s">
        <v>234</v>
      </c>
      <c r="F37" s="252">
        <f>管理者用グラフシート!I28</f>
        <v>97</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7">
        <f>F36-現況シート!F36</f>
        <v>-37</v>
      </c>
      <c r="G40" s="247"/>
      <c r="H40" s="35" t="s">
        <v>60</v>
      </c>
    </row>
    <row r="41" spans="1:9" ht="22.5" customHeight="1" x14ac:dyDescent="0.15">
      <c r="A41" s="20" t="s">
        <v>69</v>
      </c>
      <c r="C41" s="199">
        <f>管理者入力シート!B5</f>
        <v>2020</v>
      </c>
      <c r="D41" s="20" t="s">
        <v>374</v>
      </c>
      <c r="F41" s="247">
        <f>F37-現況シート!F37</f>
        <v>-14</v>
      </c>
      <c r="G41" s="247"/>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52">
        <f>管理者用グラフシート!I38</f>
        <v>1311</v>
      </c>
      <c r="D70" s="252"/>
      <c r="E70" s="82" t="s">
        <v>239</v>
      </c>
      <c r="F70" s="34"/>
      <c r="G70" s="251">
        <f>管理者用グラフシート!I56</f>
        <v>0.39</v>
      </c>
      <c r="H70" s="251"/>
      <c r="I70" s="110" t="s">
        <v>240</v>
      </c>
    </row>
    <row r="71" spans="1:9" ht="22.5" customHeight="1" x14ac:dyDescent="0.15">
      <c r="A71" s="20" t="s">
        <v>241</v>
      </c>
      <c r="C71" s="252">
        <f>管理者用グラフシート!I46</f>
        <v>816</v>
      </c>
      <c r="D71" s="252"/>
      <c r="E71" s="20" t="s">
        <v>239</v>
      </c>
      <c r="G71" s="259">
        <f>管理者用グラフシート!I64</f>
        <v>0.24</v>
      </c>
      <c r="H71" s="254"/>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ほぼ横ばい</v>
      </c>
      <c r="F74" s="252"/>
      <c r="G74" s="252"/>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3ポイント上昇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-84</v>
      </c>
      <c r="H103" s="207" t="s">
        <v>60</v>
      </c>
    </row>
    <row r="104" spans="1:8" ht="22.5" customHeight="1" x14ac:dyDescent="0.15">
      <c r="A104" s="35" t="s">
        <v>387</v>
      </c>
      <c r="C104" s="205">
        <f>SUM(管理者用グラフシート!H99:I100)-SUM(管理者用グラフシート!B95:C96)</f>
        <v>-47</v>
      </c>
      <c r="D104" s="20" t="s">
        <v>423</v>
      </c>
      <c r="E104" s="34"/>
      <c r="G104" s="205">
        <f>SUM(管理者用グラフシート!H101:I102)-SUM(管理者用グラフシート!B97:C98)</f>
        <v>-90</v>
      </c>
      <c r="H104" s="20" t="s">
        <v>60</v>
      </c>
    </row>
    <row r="105" spans="1:8" ht="22.5" customHeight="1" x14ac:dyDescent="0.15">
      <c r="A105" s="20" t="s">
        <v>389</v>
      </c>
      <c r="C105" s="205">
        <f>SUM(管理者用グラフシート!H103:I104)-SUM(管理者用グラフシート!B99:C100)</f>
        <v>30</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-95</v>
      </c>
      <c r="H137" s="207" t="s">
        <v>60</v>
      </c>
    </row>
    <row r="138" spans="1:8" ht="22.5" customHeight="1" x14ac:dyDescent="0.15">
      <c r="A138" s="35" t="s">
        <v>387</v>
      </c>
      <c r="C138" s="205">
        <f>SUM(管理者用グラフシート!H147:I148)-SUM(管理者用グラフシート!B95:C96)</f>
        <v>-142</v>
      </c>
      <c r="D138" s="20" t="s">
        <v>423</v>
      </c>
      <c r="E138" s="34"/>
      <c r="G138" s="205">
        <f>SUM(管理者用グラフシート!H149:I150)-SUM(管理者用グラフシート!B97:C98)</f>
        <v>-141</v>
      </c>
      <c r="H138" s="20" t="s">
        <v>60</v>
      </c>
    </row>
    <row r="139" spans="1:8" ht="22.5" customHeight="1" x14ac:dyDescent="0.15">
      <c r="A139" s="20" t="s">
        <v>389</v>
      </c>
      <c r="C139" s="205">
        <f>SUM(管理者用グラフシート!H151:I152)-SUM(管理者用グラフシート!B99:C100)</f>
        <v>-64</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都農小学校区</v>
      </c>
      <c r="B2" s="261"/>
      <c r="C2" s="261"/>
      <c r="D2" s="249" t="s">
        <v>249</v>
      </c>
      <c r="E2" s="249"/>
      <c r="F2" s="249"/>
      <c r="G2" s="249"/>
      <c r="H2" s="249"/>
      <c r="I2" s="249"/>
    </row>
    <row r="3" spans="1:9" ht="31.5" customHeight="1" x14ac:dyDescent="0.15">
      <c r="A3" s="261"/>
      <c r="B3" s="261"/>
      <c r="C3" s="261"/>
      <c r="D3" s="249"/>
      <c r="E3" s="249"/>
      <c r="F3" s="249"/>
      <c r="G3" s="249"/>
      <c r="H3" s="249"/>
      <c r="I3" s="249"/>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5" t="s">
        <v>254</v>
      </c>
      <c r="B15" s="265"/>
      <c r="C15" s="265"/>
      <c r="D15" s="266" t="s">
        <v>258</v>
      </c>
      <c r="E15" s="267"/>
      <c r="F15" s="262" t="s">
        <v>257</v>
      </c>
      <c r="G15" s="263"/>
      <c r="H15" s="264"/>
    </row>
    <row r="16" spans="1:9" ht="17.25" customHeight="1" x14ac:dyDescent="0.15">
      <c r="A16" s="124" t="s">
        <v>254</v>
      </c>
      <c r="B16" s="124" t="s">
        <v>21</v>
      </c>
      <c r="C16" s="124" t="s">
        <v>22</v>
      </c>
      <c r="D16" s="266"/>
      <c r="E16" s="267"/>
      <c r="F16" s="126"/>
      <c r="G16" s="127" t="s">
        <v>21</v>
      </c>
      <c r="H16" s="128" t="s">
        <v>22</v>
      </c>
    </row>
    <row r="17" spans="1:9" ht="18.75" customHeight="1" x14ac:dyDescent="0.15">
      <c r="A17" s="125" t="s">
        <v>0</v>
      </c>
      <c r="B17" s="116">
        <v>1</v>
      </c>
      <c r="C17" s="116">
        <v>1</v>
      </c>
      <c r="D17" s="266"/>
      <c r="E17" s="267"/>
      <c r="F17" s="119" t="s">
        <v>0</v>
      </c>
      <c r="G17" s="116">
        <v>1</v>
      </c>
      <c r="H17" s="118">
        <v>1</v>
      </c>
    </row>
    <row r="18" spans="1:9" ht="18.75" customHeight="1" x14ac:dyDescent="0.15">
      <c r="A18" s="125" t="s">
        <v>1</v>
      </c>
      <c r="B18" s="116"/>
      <c r="C18" s="116"/>
      <c r="D18" s="266"/>
      <c r="E18" s="267"/>
      <c r="F18" s="119" t="s">
        <v>1</v>
      </c>
      <c r="G18" s="116"/>
      <c r="H18" s="118"/>
    </row>
    <row r="19" spans="1:9" ht="18.75" customHeight="1" x14ac:dyDescent="0.15">
      <c r="A19" s="125" t="s">
        <v>2</v>
      </c>
      <c r="B19" s="73">
        <v>1</v>
      </c>
      <c r="C19" s="73">
        <v>1</v>
      </c>
      <c r="D19" s="266"/>
      <c r="E19" s="267"/>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6">
        <f>管理者入力シート!B5</f>
        <v>2020</v>
      </c>
      <c r="C31" s="276"/>
      <c r="D31" s="83" t="s">
        <v>412</v>
      </c>
      <c r="E31" s="131"/>
      <c r="F31" s="131"/>
      <c r="G31" s="131"/>
      <c r="H31" s="131"/>
      <c r="I31" s="236"/>
    </row>
    <row r="32" spans="1:9" s="131" customFormat="1" ht="17.25" customHeight="1" x14ac:dyDescent="0.15">
      <c r="A32" s="159" t="s">
        <v>409</v>
      </c>
      <c r="B32" s="275">
        <f>管理者入力シート!B5</f>
        <v>2020</v>
      </c>
      <c r="C32" s="275"/>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2" t="s">
        <v>257</v>
      </c>
      <c r="C35" s="273"/>
      <c r="D35" s="274"/>
      <c r="F35" s="162"/>
      <c r="G35" s="239"/>
      <c r="H35" s="277" t="s">
        <v>410</v>
      </c>
      <c r="I35" s="278"/>
    </row>
    <row r="36" spans="1:9" s="132" customFormat="1" ht="17.25" customHeight="1" x14ac:dyDescent="0.15">
      <c r="A36" s="160"/>
      <c r="B36" s="214"/>
      <c r="C36" s="127" t="s">
        <v>21</v>
      </c>
      <c r="D36" s="215" t="s">
        <v>22</v>
      </c>
      <c r="F36" s="162"/>
      <c r="G36" s="237">
        <f>管理者入力シート!B8</f>
        <v>2025</v>
      </c>
      <c r="H36" s="268">
        <f>管理者用人口入力シート!EU22</f>
        <v>4402</v>
      </c>
      <c r="I36" s="269"/>
    </row>
    <row r="37" spans="1:9" s="130" customFormat="1" ht="17.25" customHeight="1" x14ac:dyDescent="0.15">
      <c r="A37" s="165"/>
      <c r="B37" s="225" t="s">
        <v>5</v>
      </c>
      <c r="C37" s="226">
        <f>管理者用人口入力シート!DX1</f>
        <v>27</v>
      </c>
      <c r="D37" s="227">
        <f>C37</f>
        <v>27</v>
      </c>
      <c r="F37" s="162"/>
      <c r="G37" s="237">
        <f>管理者入力シート!B9</f>
        <v>2030</v>
      </c>
      <c r="H37" s="268">
        <f>管理者用人口入力シート!EU25</f>
        <v>4376</v>
      </c>
      <c r="I37" s="269"/>
    </row>
    <row r="38" spans="1:9" s="132" customFormat="1" ht="17.25" customHeight="1" x14ac:dyDescent="0.15">
      <c r="A38" s="160"/>
      <c r="B38" s="225" t="s">
        <v>6</v>
      </c>
      <c r="C38" s="226">
        <f>C37</f>
        <v>27</v>
      </c>
      <c r="D38" s="227">
        <f>C37</f>
        <v>27</v>
      </c>
      <c r="F38" s="162"/>
      <c r="G38" s="237">
        <f>管理者入力シート!B10</f>
        <v>2035</v>
      </c>
      <c r="H38" s="268">
        <f>管理者用人口入力シート!EU28</f>
        <v>4360</v>
      </c>
      <c r="I38" s="269"/>
    </row>
    <row r="39" spans="1:9" ht="17.25" customHeight="1" thickBot="1" x14ac:dyDescent="0.2">
      <c r="A39" s="166"/>
      <c r="B39" s="228" t="s">
        <v>7</v>
      </c>
      <c r="C39" s="229">
        <f>C37</f>
        <v>27</v>
      </c>
      <c r="D39" s="230">
        <f>C37</f>
        <v>27</v>
      </c>
      <c r="F39" s="162"/>
      <c r="G39" s="238">
        <f>管理者入力シート!B11</f>
        <v>2040</v>
      </c>
      <c r="H39" s="270">
        <f>管理者用人口入力シート!EU31</f>
        <v>4353</v>
      </c>
      <c r="I39" s="271"/>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52">
        <f>管理者用グラフシート!U8</f>
        <v>3994</v>
      </c>
      <c r="E43" s="252"/>
      <c r="F43" s="20" t="s">
        <v>231</v>
      </c>
      <c r="H43" s="34"/>
      <c r="I43" s="34"/>
    </row>
    <row r="44" spans="1:9" ht="22.5" customHeight="1" x14ac:dyDescent="0.15">
      <c r="A44" s="248">
        <f>管理者入力シート!B11</f>
        <v>2040</v>
      </c>
      <c r="B44" s="248"/>
      <c r="C44" s="20" t="s">
        <v>417</v>
      </c>
      <c r="D44" s="252">
        <f>管理者用グラフシート!U10</f>
        <v>3435</v>
      </c>
      <c r="E44" s="252"/>
      <c r="F44" s="20" t="s">
        <v>231</v>
      </c>
      <c r="H44" s="34"/>
      <c r="I44" s="34"/>
    </row>
    <row r="45" spans="1:9" ht="22.5" customHeight="1" x14ac:dyDescent="0.15">
      <c r="A45" s="20" t="s">
        <v>121</v>
      </c>
    </row>
    <row r="46" spans="1:9" ht="22.5" customHeight="1" x14ac:dyDescent="0.15">
      <c r="A46" s="248">
        <f>管理者入力シート!B9</f>
        <v>2030</v>
      </c>
      <c r="B46" s="248"/>
      <c r="C46" s="20" t="s">
        <v>418</v>
      </c>
      <c r="D46" s="255">
        <f>D43-将来予測シート①!D6</f>
        <v>20</v>
      </c>
      <c r="E46" s="255"/>
      <c r="F46" s="20" t="s">
        <v>122</v>
      </c>
    </row>
    <row r="47" spans="1:9" ht="22.5" customHeight="1" x14ac:dyDescent="0.15">
      <c r="A47" s="248">
        <f>管理者入力シート!B11</f>
        <v>2040</v>
      </c>
      <c r="B47" s="248"/>
      <c r="C47" s="20" t="s">
        <v>418</v>
      </c>
      <c r="D47" s="255">
        <f>D44-将来予測シート①!D10</f>
        <v>44</v>
      </c>
      <c r="E47" s="255"/>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52">
        <f>管理者用グラフシート!Q20</f>
        <v>196</v>
      </c>
      <c r="G78" s="252"/>
      <c r="H78" s="82" t="s">
        <v>264</v>
      </c>
      <c r="I78" s="34"/>
    </row>
    <row r="79" spans="1:9" ht="22.5" customHeight="1" x14ac:dyDescent="0.15">
      <c r="A79" s="20" t="s">
        <v>234</v>
      </c>
      <c r="F79" s="252">
        <f>管理者用グラフシート!Q28</f>
        <v>101</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7">
        <f>F78-将来予測シート①!F36</f>
        <v>8</v>
      </c>
      <c r="D82" s="247"/>
      <c r="E82" s="20" t="s">
        <v>60</v>
      </c>
    </row>
    <row r="83" spans="1:13" ht="22.5" customHeight="1" x14ac:dyDescent="0.15">
      <c r="A83" s="20" t="s">
        <v>69</v>
      </c>
      <c r="C83" s="247">
        <f>F79-将来予測シート①!F37</f>
        <v>4</v>
      </c>
      <c r="D83" s="247"/>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52">
        <f>管理者用グラフシート!Q38</f>
        <v>1311</v>
      </c>
      <c r="D112" s="252"/>
      <c r="E112" s="20" t="s">
        <v>270</v>
      </c>
      <c r="F112" s="36"/>
      <c r="G112" s="111">
        <f>管理者用グラフシート!Q56</f>
        <v>0.38</v>
      </c>
      <c r="H112" s="82" t="s">
        <v>271</v>
      </c>
      <c r="I112" s="34"/>
    </row>
    <row r="113" spans="1:9" ht="22.5" customHeight="1" x14ac:dyDescent="0.15">
      <c r="A113" s="20" t="s">
        <v>268</v>
      </c>
      <c r="C113" s="252">
        <f>管理者用グラフシート!Q46</f>
        <v>816</v>
      </c>
      <c r="D113" s="252"/>
      <c r="E113" s="82" t="s">
        <v>270</v>
      </c>
      <c r="F113" s="34"/>
      <c r="G113" s="111">
        <f>管理者用グラフシート!Q64</f>
        <v>0.24</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2"/>
      <c r="G116" s="252"/>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0" t="str">
        <f>管理者入力シート!B4</f>
        <v>都農小学校区</v>
      </c>
      <c r="B1" s="250"/>
      <c r="C1" s="250"/>
      <c r="D1" s="249" t="s">
        <v>278</v>
      </c>
      <c r="E1" s="249"/>
      <c r="F1" s="249"/>
      <c r="G1" s="249"/>
      <c r="H1" s="249"/>
    </row>
    <row r="2" spans="1:8" ht="22.5" customHeight="1" x14ac:dyDescent="0.15">
      <c r="A2" s="250"/>
      <c r="B2" s="250"/>
      <c r="C2" s="250"/>
      <c r="D2" s="249"/>
      <c r="E2" s="249"/>
      <c r="F2" s="249"/>
      <c r="G2" s="249"/>
      <c r="H2" s="249"/>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0.6097023153252481</v>
      </c>
      <c r="G7" s="279"/>
      <c r="H7" s="20" t="s">
        <v>282</v>
      </c>
    </row>
    <row r="8" spans="1:8" ht="22.5" customHeight="1" x14ac:dyDescent="0.15">
      <c r="A8" s="34" t="str">
        <f>管理者入力シート!B3</f>
        <v>都農町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都農小学校区</v>
      </c>
      <c r="B11" s="254"/>
      <c r="C11" s="255">
        <f>管理者用地域特徴シート!D5</f>
        <v>1814</v>
      </c>
      <c r="D11" s="254"/>
      <c r="E11" s="20" t="s">
        <v>413</v>
      </c>
    </row>
    <row r="12" spans="1:8" ht="22.5" customHeight="1" x14ac:dyDescent="0.15">
      <c r="A12" s="254" t="str">
        <f>A8</f>
        <v>都農町</v>
      </c>
      <c r="B12" s="254"/>
      <c r="C12" s="255">
        <f>管理者用地域特徴シート!D4</f>
        <v>3952</v>
      </c>
      <c r="D12" s="254"/>
      <c r="E12" s="20" t="s">
        <v>413</v>
      </c>
    </row>
    <row r="13" spans="1:8" ht="22.5" customHeight="1" x14ac:dyDescent="0.15">
      <c r="A13" s="254" t="s">
        <v>414</v>
      </c>
      <c r="B13" s="254"/>
      <c r="C13" s="255">
        <f>管理者用地域特徴シート!D3</f>
        <v>468575.00000000006</v>
      </c>
      <c r="D13" s="254"/>
      <c r="E13" s="20" t="s">
        <v>416</v>
      </c>
    </row>
    <row r="23" spans="1:8" ht="22.5" customHeight="1" x14ac:dyDescent="0.15">
      <c r="A23" s="20" t="s">
        <v>285</v>
      </c>
      <c r="G23" s="240">
        <f>管理者用地域特徴シート!J5</f>
        <v>0.18302094818081588</v>
      </c>
      <c r="H23" s="35" t="s">
        <v>286</v>
      </c>
    </row>
    <row r="24" spans="1:8" ht="22.5" customHeight="1" x14ac:dyDescent="0.15">
      <c r="A24" s="34" t="str">
        <f>管理者入力シート!B3</f>
        <v>都農町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0.28476084538375973</v>
      </c>
      <c r="G37" s="279"/>
      <c r="H37" s="20" t="s">
        <v>286</v>
      </c>
    </row>
    <row r="38" spans="1:8" ht="22.5" customHeight="1" x14ac:dyDescent="0.15">
      <c r="A38" s="34" t="str">
        <f>管理者入力シート!B3</f>
        <v>都農町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都農町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0">
        <f>管理者用地域特徴シート!W5</f>
        <v>758</v>
      </c>
      <c r="F70" s="280"/>
      <c r="G70" s="20" t="s">
        <v>290</v>
      </c>
    </row>
    <row r="71" spans="1:8" ht="22.5" customHeight="1" x14ac:dyDescent="0.15">
      <c r="A71" s="20" t="s">
        <v>295</v>
      </c>
      <c r="F71" s="279">
        <f>管理者用地域特徴シート!AK5</f>
        <v>0.29023746701846964</v>
      </c>
      <c r="G71" s="279"/>
      <c r="H71" s="20" t="s">
        <v>271</v>
      </c>
    </row>
    <row r="72" spans="1:8" ht="22.5" customHeight="1" x14ac:dyDescent="0.15">
      <c r="A72" s="20" t="s">
        <v>296</v>
      </c>
      <c r="F72" s="279">
        <f>管理者用地域特徴シート!AL5</f>
        <v>0.20844327176781002</v>
      </c>
      <c r="G72" s="279"/>
      <c r="H72" s="20" t="s">
        <v>297</v>
      </c>
    </row>
    <row r="73" spans="1:8" ht="22.5" customHeight="1" x14ac:dyDescent="0.15">
      <c r="A73" s="20" t="s">
        <v>298</v>
      </c>
      <c r="E73" s="279"/>
      <c r="F73" s="279"/>
    </row>
    <row r="74" spans="1:8" ht="22.5" customHeight="1" x14ac:dyDescent="0.15">
      <c r="A74" s="20" t="s">
        <v>339</v>
      </c>
      <c r="C74" s="177">
        <f>管理者用地域特徴シート!AN5</f>
        <v>0.43403693931398418</v>
      </c>
      <c r="D74" s="156" t="s">
        <v>299</v>
      </c>
      <c r="E74" s="177">
        <f>管理者用地域特徴シート!AO5</f>
        <v>0.56596306068601587</v>
      </c>
      <c r="F74" s="20" t="s">
        <v>291</v>
      </c>
    </row>
    <row r="76" spans="1:8" ht="22.5" customHeight="1" x14ac:dyDescent="0.15">
      <c r="A76" s="34" t="str">
        <f>管理者入力シート!B3</f>
        <v>都農町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0.62505865790708592</v>
      </c>
      <c r="D139" s="279"/>
      <c r="E139" s="20" t="s">
        <v>316</v>
      </c>
      <c r="F139" s="157" t="str">
        <f>管理者入力シート!B3</f>
        <v>都農町</v>
      </c>
      <c r="G139" s="158" t="s">
        <v>317</v>
      </c>
    </row>
    <row r="140" spans="1:8" ht="22.5" customHeight="1" x14ac:dyDescent="0.15">
      <c r="A140" s="20" t="s">
        <v>318</v>
      </c>
    </row>
    <row r="141" spans="1:8" ht="22.5" customHeight="1" x14ac:dyDescent="0.15">
      <c r="C141" s="279">
        <f>管理者用地域特徴シート!CN5</f>
        <v>0.20858895705521471</v>
      </c>
      <c r="D141" s="279"/>
      <c r="E141" s="20" t="s">
        <v>316</v>
      </c>
      <c r="F141" s="157" t="str">
        <f>管理者入力シート!B3</f>
        <v>都農町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436</v>
      </c>
    </row>
    <row r="3" spans="1:3" x14ac:dyDescent="0.15">
      <c r="A3" s="202" t="s">
        <v>292</v>
      </c>
      <c r="B3" s="32" t="str">
        <f>管理者用地域特徴シート!B5</f>
        <v>都農町</v>
      </c>
    </row>
    <row r="4" spans="1:3" x14ac:dyDescent="0.15">
      <c r="A4" s="153" t="s">
        <v>24</v>
      </c>
      <c r="B4" s="154" t="str">
        <f>管理者用地域特徴シート!C5</f>
        <v>都農小学校区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45406_1</v>
      </c>
      <c r="B1" s="24" t="s">
        <v>44</v>
      </c>
      <c r="C1" s="25"/>
      <c r="D1" s="302" t="s">
        <v>0</v>
      </c>
      <c r="E1" s="302" t="s">
        <v>1</v>
      </c>
      <c r="F1" s="302" t="s">
        <v>2</v>
      </c>
      <c r="G1" s="302" t="s">
        <v>3</v>
      </c>
      <c r="H1" s="302" t="s">
        <v>4</v>
      </c>
      <c r="I1" s="302" t="s">
        <v>5</v>
      </c>
      <c r="J1" s="302" t="s">
        <v>6</v>
      </c>
      <c r="K1" s="302" t="s">
        <v>7</v>
      </c>
      <c r="L1" s="302" t="s">
        <v>8</v>
      </c>
      <c r="M1" s="302" t="s">
        <v>9</v>
      </c>
      <c r="N1" s="302" t="s">
        <v>10</v>
      </c>
      <c r="O1" s="302" t="s">
        <v>11</v>
      </c>
      <c r="P1" s="302" t="s">
        <v>12</v>
      </c>
      <c r="Q1" s="302" t="s">
        <v>13</v>
      </c>
      <c r="R1" s="302" t="s">
        <v>14</v>
      </c>
      <c r="S1" s="302" t="s">
        <v>15</v>
      </c>
      <c r="T1" s="302" t="s">
        <v>16</v>
      </c>
      <c r="U1" s="302" t="s">
        <v>17</v>
      </c>
      <c r="V1" s="302" t="s">
        <v>18</v>
      </c>
      <c r="W1" s="302" t="s">
        <v>19</v>
      </c>
      <c r="X1" s="302" t="s">
        <v>20</v>
      </c>
      <c r="Y1" s="302" t="s">
        <v>23</v>
      </c>
      <c r="Z1" s="299" t="s">
        <v>50</v>
      </c>
      <c r="AA1" s="299" t="s">
        <v>51</v>
      </c>
      <c r="AB1" s="300" t="s">
        <v>79</v>
      </c>
      <c r="AC1" s="300" t="s">
        <v>80</v>
      </c>
      <c r="AD1" s="299" t="s">
        <v>48</v>
      </c>
      <c r="AE1" s="299" t="s">
        <v>49</v>
      </c>
      <c r="AF1" s="299" t="s">
        <v>97</v>
      </c>
      <c r="AH1" s="7"/>
      <c r="AI1" s="42" t="s">
        <v>25</v>
      </c>
      <c r="AJ1" s="40" t="s">
        <v>90</v>
      </c>
      <c r="AK1" s="41"/>
      <c r="AL1" s="304" t="s">
        <v>89</v>
      </c>
      <c r="AM1" s="298" t="s">
        <v>27</v>
      </c>
      <c r="AN1" s="298" t="s">
        <v>28</v>
      </c>
      <c r="AO1" s="298" t="s">
        <v>26</v>
      </c>
      <c r="AP1" s="298" t="s">
        <v>29</v>
      </c>
      <c r="AQ1" s="298" t="s">
        <v>30</v>
      </c>
      <c r="AR1" s="298" t="s">
        <v>31</v>
      </c>
      <c r="AS1" s="298" t="s">
        <v>32</v>
      </c>
      <c r="AT1" s="298" t="s">
        <v>33</v>
      </c>
      <c r="AU1" s="298" t="s">
        <v>34</v>
      </c>
      <c r="AV1" s="298" t="s">
        <v>35</v>
      </c>
      <c r="AW1" s="298" t="s">
        <v>36</v>
      </c>
      <c r="AX1" s="298" t="s">
        <v>37</v>
      </c>
      <c r="AY1" s="298" t="s">
        <v>38</v>
      </c>
      <c r="AZ1" s="298" t="s">
        <v>39</v>
      </c>
      <c r="BA1" s="298" t="s">
        <v>40</v>
      </c>
      <c r="BB1" s="298" t="s">
        <v>45</v>
      </c>
      <c r="BC1" s="298" t="s">
        <v>41</v>
      </c>
      <c r="BD1" s="298" t="s">
        <v>42</v>
      </c>
      <c r="BE1" s="298" t="s">
        <v>46</v>
      </c>
      <c r="BF1" s="298" t="s">
        <v>43</v>
      </c>
      <c r="BI1" s="56" t="s">
        <v>44</v>
      </c>
      <c r="BJ1" s="57"/>
      <c r="BK1" s="297" t="s">
        <v>0</v>
      </c>
      <c r="BL1" s="297" t="s">
        <v>1</v>
      </c>
      <c r="BM1" s="297" t="s">
        <v>2</v>
      </c>
      <c r="BN1" s="297" t="s">
        <v>3</v>
      </c>
      <c r="BO1" s="297" t="s">
        <v>4</v>
      </c>
      <c r="BP1" s="297" t="s">
        <v>5</v>
      </c>
      <c r="BQ1" s="297" t="s">
        <v>6</v>
      </c>
      <c r="BR1" s="297" t="s">
        <v>7</v>
      </c>
      <c r="BS1" s="297" t="s">
        <v>8</v>
      </c>
      <c r="BT1" s="297" t="s">
        <v>9</v>
      </c>
      <c r="BU1" s="297" t="s">
        <v>10</v>
      </c>
      <c r="BV1" s="297" t="s">
        <v>11</v>
      </c>
      <c r="BW1" s="297" t="s">
        <v>12</v>
      </c>
      <c r="BX1" s="297" t="s">
        <v>13</v>
      </c>
      <c r="BY1" s="297" t="s">
        <v>14</v>
      </c>
      <c r="BZ1" s="297" t="s">
        <v>15</v>
      </c>
      <c r="CA1" s="297" t="s">
        <v>16</v>
      </c>
      <c r="CB1" s="297" t="s">
        <v>17</v>
      </c>
      <c r="CC1" s="297" t="s">
        <v>18</v>
      </c>
      <c r="CD1" s="297" t="s">
        <v>19</v>
      </c>
      <c r="CE1" s="297" t="s">
        <v>20</v>
      </c>
      <c r="CF1" s="297" t="s">
        <v>23</v>
      </c>
      <c r="CG1" s="294" t="s">
        <v>50</v>
      </c>
      <c r="CH1" s="294" t="s">
        <v>51</v>
      </c>
      <c r="CI1" s="295" t="s">
        <v>79</v>
      </c>
      <c r="CJ1" s="295" t="s">
        <v>80</v>
      </c>
      <c r="CK1" s="294" t="s">
        <v>48</v>
      </c>
      <c r="CL1" s="294" t="s">
        <v>49</v>
      </c>
      <c r="CM1" s="294" t="s">
        <v>97</v>
      </c>
      <c r="CP1" s="74" t="s">
        <v>44</v>
      </c>
      <c r="CQ1" s="75"/>
      <c r="CR1" s="293" t="s">
        <v>0</v>
      </c>
      <c r="CS1" s="293" t="s">
        <v>1</v>
      </c>
      <c r="CT1" s="293" t="s">
        <v>2</v>
      </c>
      <c r="CU1" s="293" t="s">
        <v>3</v>
      </c>
      <c r="CV1" s="293" t="s">
        <v>4</v>
      </c>
      <c r="CW1" s="293" t="s">
        <v>5</v>
      </c>
      <c r="CX1" s="293" t="s">
        <v>6</v>
      </c>
      <c r="CY1" s="293" t="s">
        <v>7</v>
      </c>
      <c r="CZ1" s="293" t="s">
        <v>8</v>
      </c>
      <c r="DA1" s="293" t="s">
        <v>9</v>
      </c>
      <c r="DB1" s="293" t="s">
        <v>10</v>
      </c>
      <c r="DC1" s="293" t="s">
        <v>11</v>
      </c>
      <c r="DD1" s="293" t="s">
        <v>12</v>
      </c>
      <c r="DE1" s="293" t="s">
        <v>13</v>
      </c>
      <c r="DF1" s="293" t="s">
        <v>14</v>
      </c>
      <c r="DG1" s="293" t="s">
        <v>15</v>
      </c>
      <c r="DH1" s="293" t="s">
        <v>16</v>
      </c>
      <c r="DI1" s="293" t="s">
        <v>17</v>
      </c>
      <c r="DJ1" s="293" t="s">
        <v>18</v>
      </c>
      <c r="DK1" s="293" t="s">
        <v>19</v>
      </c>
      <c r="DL1" s="293" t="s">
        <v>20</v>
      </c>
      <c r="DM1" s="293" t="s">
        <v>23</v>
      </c>
      <c r="DN1" s="290" t="s">
        <v>50</v>
      </c>
      <c r="DO1" s="290" t="s">
        <v>51</v>
      </c>
      <c r="DP1" s="291" t="s">
        <v>79</v>
      </c>
      <c r="DQ1" s="291" t="s">
        <v>80</v>
      </c>
      <c r="DR1" s="290" t="s">
        <v>48</v>
      </c>
      <c r="DS1" s="290" t="s">
        <v>49</v>
      </c>
      <c r="DT1" s="290" t="s">
        <v>97</v>
      </c>
      <c r="DV1" s="310" t="s">
        <v>437</v>
      </c>
      <c r="DW1" s="311"/>
      <c r="DX1" s="306">
        <f>DW17</f>
        <v>27</v>
      </c>
      <c r="DY1" s="307"/>
      <c r="DZ1" s="303" t="s">
        <v>0</v>
      </c>
      <c r="EA1" s="303" t="s">
        <v>1</v>
      </c>
      <c r="EB1" s="303" t="s">
        <v>2</v>
      </c>
      <c r="EC1" s="303" t="s">
        <v>3</v>
      </c>
      <c r="ED1" s="303" t="s">
        <v>4</v>
      </c>
      <c r="EE1" s="303" t="s">
        <v>5</v>
      </c>
      <c r="EF1" s="303" t="s">
        <v>6</v>
      </c>
      <c r="EG1" s="303" t="s">
        <v>7</v>
      </c>
      <c r="EH1" s="303" t="s">
        <v>8</v>
      </c>
      <c r="EI1" s="303" t="s">
        <v>9</v>
      </c>
      <c r="EJ1" s="303" t="s">
        <v>10</v>
      </c>
      <c r="EK1" s="303" t="s">
        <v>11</v>
      </c>
      <c r="EL1" s="303" t="s">
        <v>12</v>
      </c>
      <c r="EM1" s="303" t="s">
        <v>13</v>
      </c>
      <c r="EN1" s="303" t="s">
        <v>14</v>
      </c>
      <c r="EO1" s="303" t="s">
        <v>15</v>
      </c>
      <c r="EP1" s="303" t="s">
        <v>16</v>
      </c>
      <c r="EQ1" s="303" t="s">
        <v>17</v>
      </c>
      <c r="ER1" s="303" t="s">
        <v>18</v>
      </c>
      <c r="ES1" s="303" t="s">
        <v>19</v>
      </c>
      <c r="ET1" s="303" t="s">
        <v>20</v>
      </c>
      <c r="EU1" s="303" t="s">
        <v>23</v>
      </c>
      <c r="EV1" s="305" t="s">
        <v>50</v>
      </c>
      <c r="EW1" s="305" t="s">
        <v>51</v>
      </c>
      <c r="EX1" s="312" t="s">
        <v>79</v>
      </c>
      <c r="EY1" s="312" t="s">
        <v>80</v>
      </c>
      <c r="EZ1" s="305" t="s">
        <v>48</v>
      </c>
      <c r="FA1" s="305" t="s">
        <v>49</v>
      </c>
      <c r="FB1" s="305" t="s">
        <v>97</v>
      </c>
    </row>
    <row r="2" spans="1:158" x14ac:dyDescent="0.15">
      <c r="A2" s="7" t="s">
        <v>56</v>
      </c>
      <c r="B2" s="26"/>
      <c r="C2" s="27"/>
      <c r="D2" s="302"/>
      <c r="E2" s="302"/>
      <c r="F2" s="302"/>
      <c r="G2" s="302"/>
      <c r="H2" s="302"/>
      <c r="I2" s="302"/>
      <c r="J2" s="302"/>
      <c r="K2" s="302"/>
      <c r="L2" s="302"/>
      <c r="M2" s="302"/>
      <c r="N2" s="302"/>
      <c r="O2" s="302"/>
      <c r="P2" s="302"/>
      <c r="Q2" s="302"/>
      <c r="R2" s="302"/>
      <c r="S2" s="302"/>
      <c r="T2" s="302"/>
      <c r="U2" s="302"/>
      <c r="V2" s="302"/>
      <c r="W2" s="302"/>
      <c r="X2" s="302"/>
      <c r="Y2" s="302"/>
      <c r="Z2" s="299"/>
      <c r="AA2" s="299"/>
      <c r="AB2" s="301"/>
      <c r="AC2" s="301"/>
      <c r="AD2" s="299"/>
      <c r="AE2" s="299"/>
      <c r="AF2" s="299"/>
      <c r="AI2" s="43"/>
      <c r="AJ2" s="44"/>
      <c r="AK2" s="45"/>
      <c r="AL2" s="304"/>
      <c r="AM2" s="298"/>
      <c r="AN2" s="298"/>
      <c r="AO2" s="298"/>
      <c r="AP2" s="298"/>
      <c r="AQ2" s="298"/>
      <c r="AR2" s="298"/>
      <c r="AS2" s="298"/>
      <c r="AT2" s="298"/>
      <c r="AU2" s="298"/>
      <c r="AV2" s="298"/>
      <c r="AW2" s="298"/>
      <c r="AX2" s="298"/>
      <c r="AY2" s="298"/>
      <c r="AZ2" s="298"/>
      <c r="BA2" s="298"/>
      <c r="BB2" s="298"/>
      <c r="BC2" s="298"/>
      <c r="BD2" s="298"/>
      <c r="BE2" s="298"/>
      <c r="BF2" s="298"/>
      <c r="BH2" s="7" t="s">
        <v>56</v>
      </c>
      <c r="BI2" s="58" t="s">
        <v>116</v>
      </c>
      <c r="BJ2" s="59"/>
      <c r="BK2" s="297"/>
      <c r="BL2" s="297"/>
      <c r="BM2" s="297"/>
      <c r="BN2" s="297"/>
      <c r="BO2" s="297"/>
      <c r="BP2" s="297"/>
      <c r="BQ2" s="297"/>
      <c r="BR2" s="297"/>
      <c r="BS2" s="297"/>
      <c r="BT2" s="297"/>
      <c r="BU2" s="297"/>
      <c r="BV2" s="297"/>
      <c r="BW2" s="297"/>
      <c r="BX2" s="297"/>
      <c r="BY2" s="297"/>
      <c r="BZ2" s="297"/>
      <c r="CA2" s="297"/>
      <c r="CB2" s="297"/>
      <c r="CC2" s="297"/>
      <c r="CD2" s="297"/>
      <c r="CE2" s="297"/>
      <c r="CF2" s="297"/>
      <c r="CG2" s="294"/>
      <c r="CH2" s="294"/>
      <c r="CI2" s="296"/>
      <c r="CJ2" s="296"/>
      <c r="CK2" s="294"/>
      <c r="CL2" s="294"/>
      <c r="CM2" s="294"/>
      <c r="CO2" s="7" t="s">
        <v>56</v>
      </c>
      <c r="CP2" s="76" t="s">
        <v>117</v>
      </c>
      <c r="CQ2" s="77"/>
      <c r="CR2" s="293"/>
      <c r="CS2" s="293"/>
      <c r="CT2" s="293"/>
      <c r="CU2" s="293"/>
      <c r="CV2" s="293"/>
      <c r="CW2" s="293"/>
      <c r="CX2" s="293"/>
      <c r="CY2" s="293"/>
      <c r="CZ2" s="293"/>
      <c r="DA2" s="293"/>
      <c r="DB2" s="293"/>
      <c r="DC2" s="293"/>
      <c r="DD2" s="293"/>
      <c r="DE2" s="293"/>
      <c r="DF2" s="293"/>
      <c r="DG2" s="293"/>
      <c r="DH2" s="293"/>
      <c r="DI2" s="293"/>
      <c r="DJ2" s="293"/>
      <c r="DK2" s="293"/>
      <c r="DL2" s="293"/>
      <c r="DM2" s="293"/>
      <c r="DN2" s="290"/>
      <c r="DO2" s="290"/>
      <c r="DP2" s="292"/>
      <c r="DQ2" s="292"/>
      <c r="DR2" s="290"/>
      <c r="DS2" s="290"/>
      <c r="DT2" s="290"/>
      <c r="DV2" s="310"/>
      <c r="DW2" s="311"/>
      <c r="DX2" s="308"/>
      <c r="DY2" s="309"/>
      <c r="DZ2" s="303"/>
      <c r="EA2" s="303"/>
      <c r="EB2" s="303"/>
      <c r="EC2" s="303"/>
      <c r="ED2" s="303"/>
      <c r="EE2" s="303"/>
      <c r="EF2" s="303"/>
      <c r="EG2" s="303"/>
      <c r="EH2" s="303"/>
      <c r="EI2" s="303"/>
      <c r="EJ2" s="303"/>
      <c r="EK2" s="303"/>
      <c r="EL2" s="303"/>
      <c r="EM2" s="303"/>
      <c r="EN2" s="303"/>
      <c r="EO2" s="303"/>
      <c r="EP2" s="303"/>
      <c r="EQ2" s="303"/>
      <c r="ER2" s="303"/>
      <c r="ES2" s="303"/>
      <c r="ET2" s="303"/>
      <c r="EU2" s="303"/>
      <c r="EV2" s="305"/>
      <c r="EW2" s="305"/>
      <c r="EX2" s="313"/>
      <c r="EY2" s="313"/>
      <c r="EZ2" s="305"/>
      <c r="FA2" s="305"/>
      <c r="FB2" s="305"/>
    </row>
    <row r="3" spans="1:158" x14ac:dyDescent="0.15">
      <c r="A3" s="7" t="str">
        <f>B3&amp;"_"&amp;IF(C3="男性",1,IF(C3="女性",2,IF(C3="合計",3)))</f>
        <v>2005_1</v>
      </c>
      <c r="B3" s="28">
        <v>2005</v>
      </c>
      <c r="C3" s="3" t="s">
        <v>21</v>
      </c>
      <c r="D3" s="184">
        <v>105</v>
      </c>
      <c r="E3" s="9">
        <v>134</v>
      </c>
      <c r="F3" s="9">
        <v>138</v>
      </c>
      <c r="G3" s="9">
        <v>127</v>
      </c>
      <c r="H3" s="9">
        <v>113</v>
      </c>
      <c r="I3" s="9">
        <v>107</v>
      </c>
      <c r="J3" s="9">
        <v>132</v>
      </c>
      <c r="K3" s="9">
        <v>118</v>
      </c>
      <c r="L3" s="9">
        <v>131</v>
      </c>
      <c r="M3" s="9">
        <v>171</v>
      </c>
      <c r="N3" s="9">
        <v>207</v>
      </c>
      <c r="O3" s="9">
        <v>199</v>
      </c>
      <c r="P3" s="9">
        <v>168</v>
      </c>
      <c r="Q3" s="9">
        <v>171</v>
      </c>
      <c r="R3" s="9">
        <v>153</v>
      </c>
      <c r="S3" s="9">
        <v>128</v>
      </c>
      <c r="T3" s="9">
        <v>74</v>
      </c>
      <c r="U3" s="9">
        <v>45</v>
      </c>
      <c r="V3" s="9">
        <v>20</v>
      </c>
      <c r="W3" s="9">
        <v>3</v>
      </c>
      <c r="X3" s="9">
        <v>0</v>
      </c>
      <c r="Y3" s="9">
        <f>SUM(D3:X3)</f>
        <v>2444</v>
      </c>
      <c r="Z3" s="9">
        <f>E3*3/5+F3*3/5</f>
        <v>163.19999999999999</v>
      </c>
      <c r="AA3" s="9">
        <f>F3*2/5+G3*1/5</f>
        <v>80.599999999999994</v>
      </c>
      <c r="AB3" s="9">
        <f t="shared" ref="AB3:AB20" si="0">SUM(Q3:X3)</f>
        <v>594</v>
      </c>
      <c r="AC3" s="9">
        <f>SUM(S3:X3)</f>
        <v>270</v>
      </c>
      <c r="AD3" s="13">
        <f>AB3/Y3</f>
        <v>0.24304418985270049</v>
      </c>
      <c r="AE3" s="13">
        <f>AC3/Y3</f>
        <v>0.1104746317512275</v>
      </c>
      <c r="AF3" s="9">
        <f>SUM(H3:K3)</f>
        <v>470</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1.1161892870551162</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1.0118215994426298</v>
      </c>
      <c r="AO3" s="6">
        <f t="shared" si="1"/>
        <v>0.71452128102650758</v>
      </c>
      <c r="AP3" s="6">
        <f t="shared" si="1"/>
        <v>0.72548385904604862</v>
      </c>
      <c r="AQ3" s="6">
        <f t="shared" si="1"/>
        <v>0.98748083842365142</v>
      </c>
      <c r="AR3" s="6">
        <f t="shared" si="1"/>
        <v>1.1834684905759929</v>
      </c>
      <c r="AS3" s="6">
        <f t="shared" si="1"/>
        <v>1.0203207649880344</v>
      </c>
      <c r="AT3" s="6">
        <f t="shared" si="1"/>
        <v>1.1138003058886516</v>
      </c>
      <c r="AU3" s="6">
        <f t="shared" si="1"/>
        <v>1.0919210799190722</v>
      </c>
      <c r="AV3" s="6">
        <f t="shared" si="1"/>
        <v>1.0438875818205953</v>
      </c>
      <c r="AW3" s="6">
        <f t="shared" si="1"/>
        <v>0.98439981421857015</v>
      </c>
      <c r="AX3" s="6">
        <f t="shared" si="1"/>
        <v>0.93481592048775219</v>
      </c>
      <c r="AY3" s="6">
        <f t="shared" si="1"/>
        <v>0.96885448830327847</v>
      </c>
      <c r="AZ3" s="6">
        <f t="shared" si="1"/>
        <v>0.89901855658540264</v>
      </c>
      <c r="BA3" s="6">
        <f t="shared" si="1"/>
        <v>0.91025338136409695</v>
      </c>
      <c r="BB3" s="6">
        <f t="shared" si="1"/>
        <v>0.87624857513011223</v>
      </c>
      <c r="BC3" s="6">
        <f t="shared" si="1"/>
        <v>0.68279410218464931</v>
      </c>
      <c r="BD3" s="6">
        <f t="shared" si="1"/>
        <v>0.50107133741944443</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0.58319322685240782</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0.33157894736842108</v>
      </c>
      <c r="BH3" s="7" t="str">
        <f>BI3&amp;"_"&amp;IF(BJ3="男性",1,IF(BJ3="女性",2,IF(BJ3="合計",3)))</f>
        <v>2025_1</v>
      </c>
      <c r="BI3" s="28">
        <f>管理者入力シート!B8</f>
        <v>2025</v>
      </c>
      <c r="BJ3" s="3" t="s">
        <v>21</v>
      </c>
      <c r="BK3" s="9">
        <f>CM4*AK$13</f>
        <v>95.011644845735631</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111.01192858057738</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91.40434982548912</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76.895336096450492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54.222232906929122</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78.151803586097103</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82.781115294790766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99.058062899388332</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111.04259830205213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126.84968579423735</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134.50675541419412</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114.77468118831982</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114.64917509771001</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155.1977362760033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164.94272923779513</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155.17611418192067</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123.66178349340665</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67.961765735290143</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29.066773000970425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11.900996028042021</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1.818846236920671</v>
      </c>
      <c r="CF3" s="9">
        <f t="shared" ref="CF3:CF14" si="2">SUM(BK3:CE3)</f>
        <v>2000.0861140223205</v>
      </c>
      <c r="CG3" s="9">
        <f>BL3*3/5+BM3*3/5</f>
        <v>121.44976704363989</v>
      </c>
      <c r="CH3" s="9">
        <f>BM3*2/5+BN3*1/5</f>
        <v>51.94080714948575</v>
      </c>
      <c r="CI3" s="9">
        <f t="shared" ref="CI3:CI14" si="3">SUM(BX3:CE3)</f>
        <v>709.726744190349</v>
      </c>
      <c r="CJ3" s="9">
        <f>SUM(BZ3:CE3)</f>
        <v>389.58627867655059</v>
      </c>
      <c r="CK3" s="13">
        <f>CI3/CF3</f>
        <v>0.35484809339685691</v>
      </c>
      <c r="CL3" s="13">
        <f>CJ3/CF3</f>
        <v>0.19478475248901353</v>
      </c>
      <c r="CM3" s="9">
        <f>SUM(BO3:BR3)</f>
        <v>314.21321468720532</v>
      </c>
      <c r="CO3" s="7" t="str">
        <f>CP3&amp;"_"&amp;IF(CQ3="男性",1,IF(CQ3="女性",2,IF(CQ3="合計",3)))</f>
        <v>2025_1</v>
      </c>
      <c r="CP3" s="28">
        <f>管理者入力シート!B8</f>
        <v>2025</v>
      </c>
      <c r="CQ3" s="3" t="s">
        <v>21</v>
      </c>
      <c r="CR3" s="9">
        <f>BK3+将来予測シート②!$G17</f>
        <v>96.011644845735631</v>
      </c>
      <c r="CS3" s="9">
        <f>BL3+将来予測シート②!$G18</f>
        <v>111.01192858057738</v>
      </c>
      <c r="CT3" s="9">
        <f>BM3+将来予測シート②!$G19</f>
        <v>92.40434982548912</v>
      </c>
      <c r="CU3" s="9">
        <f>BN3+将来予測シート②!$G20</f>
        <v>76.895336096450492</v>
      </c>
      <c r="CV3" s="9">
        <f>BO3+将来予測シート②!$G21</f>
        <v>54.222232906929122</v>
      </c>
      <c r="CW3" s="9">
        <f>BP3+将来予測シート②!$G22</f>
        <v>80.151803586097103</v>
      </c>
      <c r="CX3" s="9">
        <f>BQ3+将来予測シート②!$G23</f>
        <v>82.781115294790766</v>
      </c>
      <c r="CY3" s="9">
        <f>BR3+将来予測シート②!$G24</f>
        <v>99.058062899388332</v>
      </c>
      <c r="CZ3" s="9">
        <f>BS3+将来予測シート②!$G25</f>
        <v>111.04259830205213</v>
      </c>
      <c r="DA3" s="9">
        <f>BT3+将来予測シート②!$G26</f>
        <v>126.84968579423735</v>
      </c>
      <c r="DB3" s="9">
        <f>BU3+将来予測シート②!$G27</f>
        <v>134.50675541419412</v>
      </c>
      <c r="DC3" s="9">
        <f>BV3+将来予測シート②!$G28</f>
        <v>114.77468118831982</v>
      </c>
      <c r="DD3" s="9">
        <f>BW3+将来予測シート②!$G29</f>
        <v>114.64917509771001</v>
      </c>
      <c r="DE3" s="9">
        <f>BX3</f>
        <v>155.1977362760033</v>
      </c>
      <c r="DF3" s="9">
        <f t="shared" ref="DF3:DL3" si="4">BY3</f>
        <v>164.94272923779513</v>
      </c>
      <c r="DG3" s="9">
        <f t="shared" si="4"/>
        <v>155.17611418192067</v>
      </c>
      <c r="DH3" s="9">
        <f t="shared" si="4"/>
        <v>123.66178349340665</v>
      </c>
      <c r="DI3" s="9">
        <f t="shared" si="4"/>
        <v>67.961765735290143</v>
      </c>
      <c r="DJ3" s="9">
        <f t="shared" si="4"/>
        <v>29.066773000970425</v>
      </c>
      <c r="DK3" s="9">
        <f t="shared" si="4"/>
        <v>11.900996028042021</v>
      </c>
      <c r="DL3" s="9">
        <f t="shared" si="4"/>
        <v>1.818846236920671</v>
      </c>
      <c r="DM3" s="9">
        <f t="shared" ref="DM3:DM4" si="5">SUM(CR3:DL3)</f>
        <v>2004.0861140223205</v>
      </c>
      <c r="DN3" s="9">
        <f>CS3*3/5+CT3*3/5</f>
        <v>122.0497670436399</v>
      </c>
      <c r="DO3" s="9">
        <f>CT3*2/5+CU3*1/5</f>
        <v>52.340807149485748</v>
      </c>
      <c r="DP3" s="9">
        <f t="shared" ref="DP3:DP14" si="6">SUM(DE3:DL3)</f>
        <v>709.726744190349</v>
      </c>
      <c r="DQ3" s="9">
        <f>SUM(DG3:DL3)</f>
        <v>389.58627867655059</v>
      </c>
      <c r="DR3" s="13">
        <f>DP3/DM3</f>
        <v>0.35413984420354322</v>
      </c>
      <c r="DS3" s="13">
        <f>DQ3/DM3</f>
        <v>0.19439597727396438</v>
      </c>
      <c r="DT3" s="9">
        <f>SUM(CV3:CY3)</f>
        <v>316.21321468720532</v>
      </c>
      <c r="DV3" s="310"/>
      <c r="DW3" s="311"/>
      <c r="DX3" s="28">
        <f>管理者入力シート!B8</f>
        <v>2025</v>
      </c>
      <c r="DY3" s="3" t="s">
        <v>21</v>
      </c>
      <c r="DZ3" s="9">
        <f>BK$3</f>
        <v>95.011644845735631</v>
      </c>
      <c r="EA3" s="9">
        <f>BL$3</f>
        <v>111.01192858057738</v>
      </c>
      <c r="EB3" s="9">
        <f t="shared" ref="EB3:ED3" si="7">BM$3</f>
        <v>91.40434982548912</v>
      </c>
      <c r="EC3" s="9">
        <f t="shared" si="7"/>
        <v>76.895336096450492</v>
      </c>
      <c r="ED3" s="9">
        <f t="shared" si="7"/>
        <v>54.222232906929122</v>
      </c>
      <c r="EE3" s="9">
        <f>BP$3+DX1</f>
        <v>105.1518035860971</v>
      </c>
      <c r="EF3" s="9">
        <f>BQ$3+DX1</f>
        <v>109.78111529479077</v>
      </c>
      <c r="EG3" s="9">
        <f>BR$3+DX1</f>
        <v>126.05806289938833</v>
      </c>
      <c r="EH3" s="9">
        <f t="shared" ref="EH3:ET3" si="8">BS$3</f>
        <v>111.04259830205213</v>
      </c>
      <c r="EI3" s="9">
        <f t="shared" si="8"/>
        <v>126.84968579423735</v>
      </c>
      <c r="EJ3" s="9">
        <f t="shared" si="8"/>
        <v>134.50675541419412</v>
      </c>
      <c r="EK3" s="9">
        <f t="shared" si="8"/>
        <v>114.77468118831982</v>
      </c>
      <c r="EL3" s="9">
        <f t="shared" si="8"/>
        <v>114.64917509771001</v>
      </c>
      <c r="EM3" s="9">
        <f t="shared" si="8"/>
        <v>155.1977362760033</v>
      </c>
      <c r="EN3" s="9">
        <f t="shared" si="8"/>
        <v>164.94272923779513</v>
      </c>
      <c r="EO3" s="9">
        <f t="shared" si="8"/>
        <v>155.17611418192067</v>
      </c>
      <c r="EP3" s="9">
        <f t="shared" si="8"/>
        <v>123.66178349340665</v>
      </c>
      <c r="EQ3" s="9">
        <f t="shared" si="8"/>
        <v>67.961765735290143</v>
      </c>
      <c r="ER3" s="9">
        <f t="shared" si="8"/>
        <v>29.066773000970425</v>
      </c>
      <c r="ES3" s="9">
        <f t="shared" si="8"/>
        <v>11.900996028042021</v>
      </c>
      <c r="ET3" s="9">
        <f t="shared" si="8"/>
        <v>1.818846236920671</v>
      </c>
      <c r="EU3" s="9">
        <f t="shared" ref="EU3:EU4" si="9">SUM(DZ3:ET3)</f>
        <v>2081.0861140223201</v>
      </c>
      <c r="EV3" s="9">
        <f>EA3*3/5+EB3*3/5</f>
        <v>121.44976704363989</v>
      </c>
      <c r="EW3" s="9">
        <f>EB3*2/5+EC3*1/5</f>
        <v>51.94080714948575</v>
      </c>
      <c r="EX3" s="9">
        <f t="shared" ref="EX3:EX14" si="10">SUM(EM3:ET3)</f>
        <v>709.726744190349</v>
      </c>
      <c r="EY3" s="9">
        <f>SUM(EO3:ET3)</f>
        <v>389.58627867655059</v>
      </c>
      <c r="EZ3" s="13">
        <f>EX3/EU3</f>
        <v>0.3410367016569969</v>
      </c>
      <c r="FA3" s="13">
        <f>EY3/EU3</f>
        <v>0.18720334350968246</v>
      </c>
      <c r="FB3" s="9">
        <f>SUM(ED3:EG3)</f>
        <v>395.21321468720532</v>
      </c>
    </row>
    <row r="4" spans="1:158" x14ac:dyDescent="0.15">
      <c r="A4" s="7" t="str">
        <f t="shared" ref="A4:A14" si="11">B4&amp;"_"&amp;IF(C4="男性",1,IF(C4="女性",2,IF(C4="合計",3)))</f>
        <v>2005_2</v>
      </c>
      <c r="B4" s="29">
        <v>2005</v>
      </c>
      <c r="C4" s="4" t="s">
        <v>22</v>
      </c>
      <c r="D4" s="10">
        <v>119</v>
      </c>
      <c r="E4" s="10">
        <v>139</v>
      </c>
      <c r="F4" s="10">
        <v>132</v>
      </c>
      <c r="G4" s="10">
        <v>133</v>
      </c>
      <c r="H4" s="10">
        <v>107</v>
      </c>
      <c r="I4" s="10">
        <v>109</v>
      </c>
      <c r="J4" s="10">
        <v>156</v>
      </c>
      <c r="K4" s="10">
        <v>124</v>
      </c>
      <c r="L4" s="10">
        <v>115</v>
      </c>
      <c r="M4" s="10">
        <v>165</v>
      </c>
      <c r="N4" s="10">
        <v>202</v>
      </c>
      <c r="O4" s="10">
        <v>239</v>
      </c>
      <c r="P4" s="10">
        <v>178</v>
      </c>
      <c r="Q4" s="10">
        <v>184</v>
      </c>
      <c r="R4" s="10">
        <v>198</v>
      </c>
      <c r="S4" s="10">
        <v>191</v>
      </c>
      <c r="T4" s="10">
        <v>149</v>
      </c>
      <c r="U4" s="10">
        <v>126</v>
      </c>
      <c r="V4" s="10">
        <v>53</v>
      </c>
      <c r="W4" s="10">
        <v>17</v>
      </c>
      <c r="X4" s="10">
        <v>3</v>
      </c>
      <c r="Y4" s="10">
        <f>SUM(D4:X4)</f>
        <v>2839</v>
      </c>
      <c r="Z4" s="10">
        <f t="shared" ref="Z4:Z11" si="12">E4*3/5+F4*3/5</f>
        <v>162.60000000000002</v>
      </c>
      <c r="AA4" s="10">
        <f t="shared" ref="AA4:AA11" si="13">F4*2/5+G4*1/5</f>
        <v>79.400000000000006</v>
      </c>
      <c r="AB4" s="10">
        <f t="shared" si="0"/>
        <v>921</v>
      </c>
      <c r="AC4" s="10">
        <f t="shared" ref="AC4:AC11" si="14">SUM(S4:X4)</f>
        <v>539</v>
      </c>
      <c r="AD4" s="14">
        <f t="shared" ref="AD4:AD11" si="15">AB4/Y4</f>
        <v>0.32441000352236704</v>
      </c>
      <c r="AE4" s="14">
        <f t="shared" ref="AE4:AE11" si="16">AC4/Y4</f>
        <v>0.18985558295174357</v>
      </c>
      <c r="AF4" s="10">
        <f t="shared" ref="AF4:AF20" si="17">SUM(H4:K4)</f>
        <v>496</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1.0978260869565217</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0.94623655913978499</v>
      </c>
      <c r="AO4" s="193">
        <f t="shared" si="18"/>
        <v>0.86554621848739499</v>
      </c>
      <c r="AP4" s="193">
        <f t="shared" si="18"/>
        <v>0.5803571428571429</v>
      </c>
      <c r="AQ4" s="193">
        <f t="shared" si="18"/>
        <v>1.1666666666666667</v>
      </c>
      <c r="AR4" s="193">
        <f t="shared" si="18"/>
        <v>1.1388888888888888</v>
      </c>
      <c r="AS4" s="193">
        <f t="shared" si="18"/>
        <v>1.1348314606741574</v>
      </c>
      <c r="AT4" s="193">
        <f t="shared" si="18"/>
        <v>1.0550458715596329</v>
      </c>
      <c r="AU4" s="193">
        <f t="shared" si="18"/>
        <v>1.0930232558139534</v>
      </c>
      <c r="AV4" s="193">
        <f t="shared" si="18"/>
        <v>1.0294117647058822</v>
      </c>
      <c r="AW4" s="193">
        <f t="shared" si="18"/>
        <v>0.95</v>
      </c>
      <c r="AX4" s="193">
        <f t="shared" si="18"/>
        <v>0.98709677419354835</v>
      </c>
      <c r="AY4" s="193">
        <f t="shared" si="18"/>
        <v>0.99047619047619051</v>
      </c>
      <c r="AZ4" s="193">
        <f t="shared" si="18"/>
        <v>0.9916666666666667</v>
      </c>
      <c r="BA4" s="193">
        <f t="shared" si="18"/>
        <v>0.96449704142011838</v>
      </c>
      <c r="BB4" s="193">
        <f t="shared" si="18"/>
        <v>0.88888888888888884</v>
      </c>
      <c r="BC4" s="193">
        <f t="shared" si="18"/>
        <v>0.92899408284023666</v>
      </c>
      <c r="BD4" s="193">
        <f t="shared" si="18"/>
        <v>0.6333333333333333</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0.53030303030303028</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9.375E-2</v>
      </c>
      <c r="BH4" s="7" t="str">
        <f t="shared" ref="BH4:BH20" si="19">BI4&amp;"_"&amp;IF(BJ4="男性",1,IF(BJ4="女性",2,IF(BJ4="合計",3)))</f>
        <v>2025_2</v>
      </c>
      <c r="BI4" s="29">
        <f>BI3</f>
        <v>2025</v>
      </c>
      <c r="BJ4" s="4" t="s">
        <v>22</v>
      </c>
      <c r="BK4" s="10">
        <f>CM4*AK$14</f>
        <v>68.538507445055515</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79.539321504011482</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99.941484515969279</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76.883820246235146</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63.48261342912884</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68.335472794920094</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89.144327419702435</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90.746962681706634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97.851592721010903</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127.46451873529863</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143.05850304724163</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134.72777117967928</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115.77008077769469</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152.90813568670464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201.26257713108285</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224.71889876896716</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144.55662891930709</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124.56230634266133</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93.049557592001634</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33.957927203590465</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7.0156076002011396</v>
      </c>
      <c r="CF4" s="10">
        <f t="shared" si="2"/>
        <v>2237.5166157421709</v>
      </c>
      <c r="CG4" s="10">
        <f t="shared" ref="CG4:CG14" si="20">BL4*3/5+BM4*3/5</f>
        <v>107.68848361198846</v>
      </c>
      <c r="CH4" s="10">
        <f t="shared" ref="CH4:CH14" si="21">BM4*2/5+BN4*1/5</f>
        <v>55.353357855634741</v>
      </c>
      <c r="CI4" s="10">
        <f t="shared" si="3"/>
        <v>982.03163924451633</v>
      </c>
      <c r="CJ4" s="10">
        <f t="shared" ref="CJ4:CJ14" si="22">SUM(BZ4:CE4)</f>
        <v>627.86092642672884</v>
      </c>
      <c r="CK4" s="14">
        <f t="shared" ref="CK4:CK14" si="23">CI4/CF4</f>
        <v>0.43889356277194941</v>
      </c>
      <c r="CL4" s="14">
        <f t="shared" ref="CL4:CL14" si="24">CJ4/CF4</f>
        <v>0.28060615148481083</v>
      </c>
      <c r="CM4" s="10">
        <f t="shared" ref="CM4:CM14" si="25">SUM(BO4:BR4)</f>
        <v>311.70937632545798</v>
      </c>
      <c r="CO4" s="7" t="str">
        <f t="shared" ref="CO4:CO20" si="26">CP4&amp;"_"&amp;IF(CQ4="男性",1,IF(CQ4="女性",2,IF(CQ4="合計",3)))</f>
        <v>2025_2</v>
      </c>
      <c r="CP4" s="29">
        <f>CP3</f>
        <v>2025</v>
      </c>
      <c r="CQ4" s="4" t="s">
        <v>22</v>
      </c>
      <c r="CR4" s="10">
        <f>BK4+将来予測シート②!$H17</f>
        <v>69.538507445055515</v>
      </c>
      <c r="CS4" s="10">
        <f>BL4+将来予測シート②!$H18</f>
        <v>79.539321504011482</v>
      </c>
      <c r="CT4" s="10">
        <f>BM4+将来予測シート②!$H19</f>
        <v>100.94148451596928</v>
      </c>
      <c r="CU4" s="10">
        <f>BN4+将来予測シート②!$H20</f>
        <v>76.883820246235146</v>
      </c>
      <c r="CV4" s="10">
        <f>BO4+将来予測シート②!$H21</f>
        <v>63.48261342912884</v>
      </c>
      <c r="CW4" s="10">
        <f>BP4+将来予測シート②!$H22</f>
        <v>70.335472794920094</v>
      </c>
      <c r="CX4" s="10">
        <f>BQ4+将来予測シート②!$H23</f>
        <v>89.144327419702435</v>
      </c>
      <c r="CY4" s="10">
        <f>BR4+将来予測シート②!$H24</f>
        <v>90.746962681706634</v>
      </c>
      <c r="CZ4" s="10">
        <f>BS4+将来予測シート②!$H25</f>
        <v>98.851592721010903</v>
      </c>
      <c r="DA4" s="10">
        <f>BT4+将来予測シート②!$H26</f>
        <v>127.46451873529863</v>
      </c>
      <c r="DB4" s="10">
        <f>BU4+将来予測シート②!$H27</f>
        <v>143.05850304724163</v>
      </c>
      <c r="DC4" s="10">
        <f>BV4+将来予測シート②!$H28</f>
        <v>134.72777117967928</v>
      </c>
      <c r="DD4" s="10">
        <f>BW4+将来予測シート②!$H29</f>
        <v>115.77008077769469</v>
      </c>
      <c r="DE4" s="10">
        <f>BX4</f>
        <v>152.90813568670464</v>
      </c>
      <c r="DF4" s="10">
        <f t="shared" ref="DF4" si="27">BY4</f>
        <v>201.26257713108285</v>
      </c>
      <c r="DG4" s="10">
        <f t="shared" ref="DG4" si="28">BZ4</f>
        <v>224.71889876896716</v>
      </c>
      <c r="DH4" s="10">
        <f t="shared" ref="DH4" si="29">CA4</f>
        <v>144.55662891930709</v>
      </c>
      <c r="DI4" s="10">
        <f t="shared" ref="DI4" si="30">CB4</f>
        <v>124.56230634266133</v>
      </c>
      <c r="DJ4" s="10">
        <f t="shared" ref="DJ4" si="31">CC4</f>
        <v>93.049557592001634</v>
      </c>
      <c r="DK4" s="10">
        <f t="shared" ref="DK4" si="32">CD4</f>
        <v>33.957927203590465</v>
      </c>
      <c r="DL4" s="10">
        <f t="shared" ref="DL4" si="33">CE4</f>
        <v>7.0156076002011396</v>
      </c>
      <c r="DM4" s="10">
        <f t="shared" si="5"/>
        <v>2242.5166157421709</v>
      </c>
      <c r="DN4" s="10">
        <f t="shared" ref="DN4:DN14" si="34">CS4*3/5+CT4*3/5</f>
        <v>108.28848361198847</v>
      </c>
      <c r="DO4" s="10">
        <f t="shared" ref="DO4:DO14" si="35">CT4*2/5+CU4*1/5</f>
        <v>55.753357855634739</v>
      </c>
      <c r="DP4" s="10">
        <f t="shared" si="6"/>
        <v>982.03163924451633</v>
      </c>
      <c r="DQ4" s="10">
        <f t="shared" ref="DQ4:DQ14" si="36">SUM(DG4:DL4)</f>
        <v>627.86092642672884</v>
      </c>
      <c r="DR4" s="14">
        <f t="shared" ref="DR4:DR14" si="37">DP4/DM4</f>
        <v>0.43791498905773263</v>
      </c>
      <c r="DS4" s="14">
        <f t="shared" ref="DS4:DS14" si="38">DQ4/DM4</f>
        <v>0.27998050137922187</v>
      </c>
      <c r="DT4" s="10">
        <f>SUM(CV4:CY4)</f>
        <v>313.70937632545798</v>
      </c>
      <c r="DV4" s="310"/>
      <c r="DW4" s="311"/>
      <c r="DX4" s="29">
        <f>DX3</f>
        <v>2025</v>
      </c>
      <c r="DY4" s="4" t="s">
        <v>22</v>
      </c>
      <c r="DZ4" s="10">
        <f>BK$4</f>
        <v>68.538507445055515</v>
      </c>
      <c r="EA4" s="10">
        <f>BL$4</f>
        <v>79.539321504011482</v>
      </c>
      <c r="EB4" s="10">
        <f t="shared" ref="EB4:ED4" si="39">BM$4</f>
        <v>99.941484515969279</v>
      </c>
      <c r="EC4" s="10">
        <f t="shared" si="39"/>
        <v>76.883820246235146</v>
      </c>
      <c r="ED4" s="10">
        <f t="shared" si="39"/>
        <v>63.48261342912884</v>
      </c>
      <c r="EE4" s="10">
        <f>BP$4+DX1</f>
        <v>95.335472794920094</v>
      </c>
      <c r="EF4" s="10">
        <f>BQ$4+DX1</f>
        <v>116.14432741970244</v>
      </c>
      <c r="EG4" s="10">
        <f>BR$4+DX1</f>
        <v>117.74696268170663</v>
      </c>
      <c r="EH4" s="10">
        <f t="shared" ref="EH4:ET4" si="40">BS$4</f>
        <v>97.851592721010903</v>
      </c>
      <c r="EI4" s="10">
        <f t="shared" si="40"/>
        <v>127.46451873529863</v>
      </c>
      <c r="EJ4" s="10">
        <f t="shared" si="40"/>
        <v>143.05850304724163</v>
      </c>
      <c r="EK4" s="10">
        <f t="shared" si="40"/>
        <v>134.72777117967928</v>
      </c>
      <c r="EL4" s="10">
        <f t="shared" si="40"/>
        <v>115.77008077769469</v>
      </c>
      <c r="EM4" s="10">
        <f t="shared" si="40"/>
        <v>152.90813568670464</v>
      </c>
      <c r="EN4" s="10">
        <f t="shared" si="40"/>
        <v>201.26257713108285</v>
      </c>
      <c r="EO4" s="10">
        <f t="shared" si="40"/>
        <v>224.71889876896716</v>
      </c>
      <c r="EP4" s="10">
        <f t="shared" si="40"/>
        <v>144.55662891930709</v>
      </c>
      <c r="EQ4" s="10">
        <f t="shared" si="40"/>
        <v>124.56230634266133</v>
      </c>
      <c r="ER4" s="10">
        <f t="shared" si="40"/>
        <v>93.049557592001634</v>
      </c>
      <c r="ES4" s="10">
        <f t="shared" si="40"/>
        <v>33.957927203590465</v>
      </c>
      <c r="ET4" s="10">
        <f t="shared" si="40"/>
        <v>7.0156076002011396</v>
      </c>
      <c r="EU4" s="10">
        <f t="shared" si="9"/>
        <v>2318.5166157421709</v>
      </c>
      <c r="EV4" s="10">
        <f t="shared" ref="EV4:EV14" si="41">EA4*3/5+EB4*3/5</f>
        <v>107.68848361198846</v>
      </c>
      <c r="EW4" s="10">
        <f t="shared" ref="EW4:EW14" si="42">EB4*2/5+EC4*1/5</f>
        <v>55.353357855634741</v>
      </c>
      <c r="EX4" s="10">
        <f t="shared" si="10"/>
        <v>982.03163924451633</v>
      </c>
      <c r="EY4" s="10">
        <f t="shared" ref="EY4:EY14" si="43">SUM(EO4:ET4)</f>
        <v>627.86092642672884</v>
      </c>
      <c r="EZ4" s="14">
        <f t="shared" ref="EZ4:EZ14" si="44">EX4/EU4</f>
        <v>0.42356031980825903</v>
      </c>
      <c r="FA4" s="14">
        <f t="shared" ref="FA4:FA14" si="45">EY4/EU4</f>
        <v>0.27080285824294031</v>
      </c>
      <c r="FB4" s="10">
        <f>SUM(ED4:EG4)</f>
        <v>392.70937632545798</v>
      </c>
    </row>
    <row r="5" spans="1:158" x14ac:dyDescent="0.15">
      <c r="A5" s="7" t="str">
        <f t="shared" si="11"/>
        <v>2005_3</v>
      </c>
      <c r="B5" s="30">
        <v>2005</v>
      </c>
      <c r="C5" s="5" t="s">
        <v>23</v>
      </c>
      <c r="D5" s="11">
        <v>224</v>
      </c>
      <c r="E5" s="11">
        <v>273</v>
      </c>
      <c r="F5" s="11">
        <v>270</v>
      </c>
      <c r="G5" s="11">
        <v>260</v>
      </c>
      <c r="H5" s="11">
        <v>220</v>
      </c>
      <c r="I5" s="11">
        <v>216</v>
      </c>
      <c r="J5" s="11">
        <v>288</v>
      </c>
      <c r="K5" s="11">
        <v>242</v>
      </c>
      <c r="L5" s="11">
        <v>246</v>
      </c>
      <c r="M5" s="11">
        <v>336</v>
      </c>
      <c r="N5" s="11">
        <v>409</v>
      </c>
      <c r="O5" s="11">
        <v>438</v>
      </c>
      <c r="P5" s="11">
        <v>346</v>
      </c>
      <c r="Q5" s="11">
        <v>355</v>
      </c>
      <c r="R5" s="11">
        <v>351</v>
      </c>
      <c r="S5" s="11">
        <v>319</v>
      </c>
      <c r="T5" s="11">
        <v>223</v>
      </c>
      <c r="U5" s="11">
        <v>171</v>
      </c>
      <c r="V5" s="11">
        <v>73</v>
      </c>
      <c r="W5" s="11">
        <v>20</v>
      </c>
      <c r="X5" s="11">
        <v>3</v>
      </c>
      <c r="Y5" s="11">
        <f>SUM(D5:X5)</f>
        <v>5283</v>
      </c>
      <c r="Z5" s="11">
        <f t="shared" si="12"/>
        <v>325.8</v>
      </c>
      <c r="AA5" s="11">
        <f t="shared" si="13"/>
        <v>160</v>
      </c>
      <c r="AB5" s="11">
        <f t="shared" si="0"/>
        <v>1515</v>
      </c>
      <c r="AC5" s="11">
        <f t="shared" si="14"/>
        <v>809</v>
      </c>
      <c r="AD5" s="15">
        <f t="shared" si="15"/>
        <v>0.28676888131743328</v>
      </c>
      <c r="AE5" s="15">
        <f t="shared" si="16"/>
        <v>0.15313268975960628</v>
      </c>
      <c r="AF5" s="11">
        <f t="shared" si="17"/>
        <v>966</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1.0781305114638446</v>
      </c>
      <c r="AN5" s="6">
        <f t="shared" si="1"/>
        <v>1.0884573894282632</v>
      </c>
      <c r="AO5" s="6">
        <f t="shared" si="1"/>
        <v>0.85851768528933881</v>
      </c>
      <c r="AP5" s="6">
        <f t="shared" si="1"/>
        <v>0.6315378610460578</v>
      </c>
      <c r="AQ5" s="6">
        <f t="shared" si="1"/>
        <v>0.98852553069420546</v>
      </c>
      <c r="AR5" s="6">
        <f t="shared" si="1"/>
        <v>1.0002994908655285</v>
      </c>
      <c r="AS5" s="6">
        <f t="shared" si="1"/>
        <v>1.0199938949938949</v>
      </c>
      <c r="AT5" s="6">
        <f t="shared" si="1"/>
        <v>0.9458594807432017</v>
      </c>
      <c r="AU5" s="6">
        <f t="shared" si="1"/>
        <v>1.0556283675549731</v>
      </c>
      <c r="AV5" s="6">
        <f t="shared" si="1"/>
        <v>0.97638095238095246</v>
      </c>
      <c r="AW5" s="6">
        <f t="shared" si="1"/>
        <v>0.92755165380863702</v>
      </c>
      <c r="AX5" s="6">
        <f t="shared" si="1"/>
        <v>0.97412367724867721</v>
      </c>
      <c r="AY5" s="6">
        <f t="shared" si="1"/>
        <v>1.0319953461314717</v>
      </c>
      <c r="AZ5" s="6">
        <f t="shared" si="1"/>
        <v>0.92161583734617436</v>
      </c>
      <c r="BA5" s="6">
        <f t="shared" si="1"/>
        <v>0.84241854636591473</v>
      </c>
      <c r="BB5" s="6">
        <f t="shared" si="1"/>
        <v>0.78267096312209095</v>
      </c>
      <c r="BC5" s="6">
        <f t="shared" si="1"/>
        <v>0.53733098177542626</v>
      </c>
      <c r="BD5" s="6">
        <f t="shared" si="1"/>
        <v>0.33377425044091713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0.28722600151171579</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0.20317460317460317</v>
      </c>
      <c r="BH5" s="7" t="str">
        <f t="shared" si="19"/>
        <v>2025_3</v>
      </c>
      <c r="BI5" s="30">
        <f>BI4</f>
        <v>2025</v>
      </c>
      <c r="BJ5" s="5" t="s">
        <v>23</v>
      </c>
      <c r="BK5" s="16">
        <f>BK3+BK4</f>
        <v>163.55015229079115</v>
      </c>
      <c r="BL5" s="16">
        <f t="shared" ref="BL5:CE5" si="46">BL3+BL4</f>
        <v>190.55125008458884</v>
      </c>
      <c r="BM5" s="16">
        <f t="shared" si="46"/>
        <v>191.34583434145839</v>
      </c>
      <c r="BN5" s="16">
        <f t="shared" si="46"/>
        <v>153.77915634268564</v>
      </c>
      <c r="BO5" s="16">
        <f t="shared" si="46"/>
        <v>117.70484633605795</v>
      </c>
      <c r="BP5" s="16">
        <f t="shared" si="46"/>
        <v>146.48727638101718</v>
      </c>
      <c r="BQ5" s="16">
        <f t="shared" si="46"/>
        <v>171.92544271449322</v>
      </c>
      <c r="BR5" s="16">
        <f t="shared" si="46"/>
        <v>189.80502558109498</v>
      </c>
      <c r="BS5" s="16">
        <f t="shared" si="46"/>
        <v>208.89419102306303</v>
      </c>
      <c r="BT5" s="16">
        <f t="shared" si="46"/>
        <v>254.31420452953597</v>
      </c>
      <c r="BU5" s="16">
        <f t="shared" si="46"/>
        <v>277.56525846143575</v>
      </c>
      <c r="BV5" s="16">
        <f t="shared" si="46"/>
        <v>249.5024523679991</v>
      </c>
      <c r="BW5" s="16">
        <f t="shared" si="46"/>
        <v>230.4192558754047</v>
      </c>
      <c r="BX5" s="16">
        <f t="shared" si="46"/>
        <v>308.10587196270797</v>
      </c>
      <c r="BY5" s="16">
        <f t="shared" si="46"/>
        <v>366.20530636887798</v>
      </c>
      <c r="BZ5" s="16">
        <f t="shared" si="46"/>
        <v>379.8950129508878</v>
      </c>
      <c r="CA5" s="16">
        <f t="shared" si="46"/>
        <v>268.21841241271375</v>
      </c>
      <c r="CB5" s="16">
        <f t="shared" si="46"/>
        <v>192.52407207795147</v>
      </c>
      <c r="CC5" s="16">
        <f t="shared" si="46"/>
        <v>122.11633059297206</v>
      </c>
      <c r="CD5" s="16">
        <f t="shared" si="46"/>
        <v>45.858923231632488</v>
      </c>
      <c r="CE5" s="16">
        <f t="shared" si="46"/>
        <v>8.83445383712181</v>
      </c>
      <c r="CF5" s="11">
        <f>SUM(BK5:CE5)</f>
        <v>4237.6027297644923</v>
      </c>
      <c r="CG5" s="11">
        <f t="shared" si="20"/>
        <v>229.13825065562833</v>
      </c>
      <c r="CH5" s="11">
        <f t="shared" si="21"/>
        <v>107.29416500512048</v>
      </c>
      <c r="CI5" s="11">
        <f t="shared" si="3"/>
        <v>1691.7583834348654</v>
      </c>
      <c r="CJ5" s="11">
        <f t="shared" si="22"/>
        <v>1017.4472051032794</v>
      </c>
      <c r="CK5" s="15">
        <f t="shared" si="23"/>
        <v>0.39922533831501616</v>
      </c>
      <c r="CL5" s="15">
        <f t="shared" si="24"/>
        <v>0.24009971438729574</v>
      </c>
      <c r="CM5" s="11">
        <f t="shared" si="25"/>
        <v>625.92259101266336</v>
      </c>
      <c r="CO5" s="7" t="str">
        <f t="shared" si="26"/>
        <v>2025_3</v>
      </c>
      <c r="CP5" s="30">
        <f>CP4</f>
        <v>2025</v>
      </c>
      <c r="CQ5" s="5" t="s">
        <v>23</v>
      </c>
      <c r="CR5" s="16">
        <f>CR3+CR4</f>
        <v>165.55015229079115</v>
      </c>
      <c r="CS5" s="16">
        <f t="shared" ref="CS5" si="47">CS3+CS4</f>
        <v>190.55125008458884</v>
      </c>
      <c r="CT5" s="16">
        <f t="shared" ref="CT5" si="48">CT3+CT4</f>
        <v>193.34583434145839</v>
      </c>
      <c r="CU5" s="16">
        <f t="shared" ref="CU5" si="49">CU3+CU4</f>
        <v>153.77915634268564</v>
      </c>
      <c r="CV5" s="16">
        <f t="shared" ref="CV5" si="50">CV3+CV4</f>
        <v>117.70484633605795</v>
      </c>
      <c r="CW5" s="16">
        <f t="shared" ref="CW5" si="51">CW3+CW4</f>
        <v>150.48727638101718</v>
      </c>
      <c r="CX5" s="16">
        <f t="shared" ref="CX5" si="52">CX3+CX4</f>
        <v>171.92544271449322</v>
      </c>
      <c r="CY5" s="16">
        <f t="shared" ref="CY5" si="53">CY3+CY4</f>
        <v>189.80502558109498</v>
      </c>
      <c r="CZ5" s="16">
        <f t="shared" ref="CZ5" si="54">CZ3+CZ4</f>
        <v>209.89419102306303</v>
      </c>
      <c r="DA5" s="16">
        <f t="shared" ref="DA5" si="55">DA3+DA4</f>
        <v>254.31420452953597</v>
      </c>
      <c r="DB5" s="16">
        <f t="shared" ref="DB5" si="56">DB3+DB4</f>
        <v>277.56525846143575</v>
      </c>
      <c r="DC5" s="16">
        <f t="shared" ref="DC5" si="57">DC3+DC4</f>
        <v>249.5024523679991</v>
      </c>
      <c r="DD5" s="16">
        <f t="shared" ref="DD5" si="58">DD3+DD4</f>
        <v>230.4192558754047</v>
      </c>
      <c r="DE5" s="16">
        <f t="shared" ref="DE5" si="59">DE3+DE4</f>
        <v>308.10587196270797</v>
      </c>
      <c r="DF5" s="16">
        <f t="shared" ref="DF5" si="60">DF3+DF4</f>
        <v>366.20530636887798</v>
      </c>
      <c r="DG5" s="16">
        <f t="shared" ref="DG5" si="61">DG3+DG4</f>
        <v>379.8950129508878</v>
      </c>
      <c r="DH5" s="16">
        <f t="shared" ref="DH5" si="62">DH3+DH4</f>
        <v>268.21841241271375</v>
      </c>
      <c r="DI5" s="16">
        <f t="shared" ref="DI5" si="63">DI3+DI4</f>
        <v>192.52407207795147</v>
      </c>
      <c r="DJ5" s="16">
        <f t="shared" ref="DJ5" si="64">DJ3+DJ4</f>
        <v>122.11633059297206</v>
      </c>
      <c r="DK5" s="16">
        <f t="shared" ref="DK5" si="65">DK3+DK4</f>
        <v>45.858923231632488</v>
      </c>
      <c r="DL5" s="16">
        <f t="shared" ref="DL5" si="66">DL3+DL4</f>
        <v>8.83445383712181</v>
      </c>
      <c r="DM5" s="11">
        <f>SUM(CR5:DL5)</f>
        <v>4246.6027297644923</v>
      </c>
      <c r="DN5" s="11">
        <f t="shared" si="34"/>
        <v>230.33825065562831</v>
      </c>
      <c r="DO5" s="11">
        <f t="shared" si="35"/>
        <v>108.09416500512049</v>
      </c>
      <c r="DP5" s="11">
        <f t="shared" si="6"/>
        <v>1691.7583834348654</v>
      </c>
      <c r="DQ5" s="11">
        <f t="shared" si="36"/>
        <v>1017.4472051032794</v>
      </c>
      <c r="DR5" s="15">
        <f t="shared" si="37"/>
        <v>0.3983792436192134</v>
      </c>
      <c r="DS5" s="15">
        <f t="shared" si="38"/>
        <v>0.23959086117756651</v>
      </c>
      <c r="DT5" s="11">
        <f>SUM(CV5:CY5)</f>
        <v>629.92259101266336</v>
      </c>
      <c r="DV5" s="310"/>
      <c r="DW5" s="311"/>
      <c r="DX5" s="30">
        <f>DX4</f>
        <v>2025</v>
      </c>
      <c r="DY5" s="5" t="s">
        <v>23</v>
      </c>
      <c r="DZ5" s="16">
        <f>DZ3+DZ4</f>
        <v>163.55015229079115</v>
      </c>
      <c r="EA5" s="16">
        <f t="shared" ref="EA5:ET5" si="67">EA3+EA4</f>
        <v>190.55125008458884</v>
      </c>
      <c r="EB5" s="16">
        <f t="shared" si="67"/>
        <v>191.34583434145839</v>
      </c>
      <c r="EC5" s="16">
        <f t="shared" si="67"/>
        <v>153.77915634268564</v>
      </c>
      <c r="ED5" s="16">
        <f t="shared" si="67"/>
        <v>117.70484633605795</v>
      </c>
      <c r="EE5" s="16">
        <f t="shared" si="67"/>
        <v>200.48727638101718</v>
      </c>
      <c r="EF5" s="16">
        <f t="shared" si="67"/>
        <v>225.92544271449322</v>
      </c>
      <c r="EG5" s="16">
        <f t="shared" si="67"/>
        <v>243.80502558109498</v>
      </c>
      <c r="EH5" s="16">
        <f t="shared" si="67"/>
        <v>208.89419102306303</v>
      </c>
      <c r="EI5" s="16">
        <f t="shared" si="67"/>
        <v>254.31420452953597</v>
      </c>
      <c r="EJ5" s="16">
        <f t="shared" si="67"/>
        <v>277.56525846143575</v>
      </c>
      <c r="EK5" s="16">
        <f t="shared" si="67"/>
        <v>249.5024523679991</v>
      </c>
      <c r="EL5" s="16">
        <f t="shared" si="67"/>
        <v>230.4192558754047</v>
      </c>
      <c r="EM5" s="16">
        <f t="shared" si="67"/>
        <v>308.10587196270797</v>
      </c>
      <c r="EN5" s="16">
        <f t="shared" si="67"/>
        <v>366.20530636887798</v>
      </c>
      <c r="EO5" s="16">
        <f t="shared" si="67"/>
        <v>379.8950129508878</v>
      </c>
      <c r="EP5" s="16">
        <f t="shared" si="67"/>
        <v>268.21841241271375</v>
      </c>
      <c r="EQ5" s="16">
        <f t="shared" si="67"/>
        <v>192.52407207795147</v>
      </c>
      <c r="ER5" s="16">
        <f t="shared" si="67"/>
        <v>122.11633059297206</v>
      </c>
      <c r="ES5" s="16">
        <f t="shared" si="67"/>
        <v>45.858923231632488</v>
      </c>
      <c r="ET5" s="16">
        <f t="shared" si="67"/>
        <v>8.83445383712181</v>
      </c>
      <c r="EU5" s="11">
        <f>SUM(DZ5:ET5)</f>
        <v>4399.6027297644923</v>
      </c>
      <c r="EV5" s="11">
        <f t="shared" si="41"/>
        <v>229.13825065562833</v>
      </c>
      <c r="EW5" s="11">
        <f t="shared" si="42"/>
        <v>107.29416500512048</v>
      </c>
      <c r="EX5" s="11">
        <f t="shared" si="10"/>
        <v>1691.7583834348654</v>
      </c>
      <c r="EY5" s="11">
        <f t="shared" si="43"/>
        <v>1017.4472051032794</v>
      </c>
      <c r="EZ5" s="15">
        <f t="shared" si="44"/>
        <v>0.3845252599716939</v>
      </c>
      <c r="FA5" s="15">
        <f t="shared" si="45"/>
        <v>0.23125888122124669</v>
      </c>
      <c r="FB5" s="11">
        <f>SUM(ED5:EG5)</f>
        <v>787.92259101266336</v>
      </c>
    </row>
    <row r="6" spans="1:158" x14ac:dyDescent="0.15">
      <c r="A6" s="7" t="str">
        <f t="shared" si="11"/>
        <v>2010_1</v>
      </c>
      <c r="B6" s="28">
        <v>2010</v>
      </c>
      <c r="C6" s="3" t="s">
        <v>21</v>
      </c>
      <c r="D6" s="9">
        <v>90</v>
      </c>
      <c r="E6" s="9">
        <v>103</v>
      </c>
      <c r="F6" s="9">
        <v>127</v>
      </c>
      <c r="G6" s="9">
        <v>122</v>
      </c>
      <c r="H6" s="9">
        <v>83</v>
      </c>
      <c r="I6" s="9">
        <v>106</v>
      </c>
      <c r="J6" s="9">
        <v>104</v>
      </c>
      <c r="K6" s="9">
        <v>129</v>
      </c>
      <c r="L6" s="9">
        <v>109</v>
      </c>
      <c r="M6" s="9">
        <v>125</v>
      </c>
      <c r="N6" s="9">
        <v>179</v>
      </c>
      <c r="O6" s="9">
        <v>192</v>
      </c>
      <c r="P6" s="9">
        <v>191</v>
      </c>
      <c r="Q6" s="9">
        <v>178</v>
      </c>
      <c r="R6" s="9">
        <v>152</v>
      </c>
      <c r="S6" s="9">
        <v>133</v>
      </c>
      <c r="T6" s="9">
        <v>108</v>
      </c>
      <c r="U6" s="9">
        <v>36</v>
      </c>
      <c r="V6" s="9">
        <v>21</v>
      </c>
      <c r="W6" s="9">
        <v>5</v>
      </c>
      <c r="X6" s="9">
        <v>0</v>
      </c>
      <c r="Y6" s="9">
        <f t="shared" ref="Y6:Y11" si="68">SUM(D6:X6)</f>
        <v>2293</v>
      </c>
      <c r="Z6" s="9">
        <f t="shared" si="12"/>
        <v>138</v>
      </c>
      <c r="AA6" s="9">
        <f t="shared" si="13"/>
        <v>75.199999999999989</v>
      </c>
      <c r="AB6" s="9">
        <f t="shared" si="0"/>
        <v>633</v>
      </c>
      <c r="AC6" s="9">
        <f t="shared" si="14"/>
        <v>303</v>
      </c>
      <c r="AD6" s="13">
        <f t="shared" si="15"/>
        <v>0.27605756650675972</v>
      </c>
      <c r="AE6" s="13">
        <f t="shared" si="16"/>
        <v>0.13214129960750109</v>
      </c>
      <c r="AF6" s="9">
        <f t="shared" si="17"/>
        <v>422</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1.0813953488372092</v>
      </c>
      <c r="AN6" s="193">
        <f t="shared" si="18"/>
        <v>1.0347826086956522</v>
      </c>
      <c r="AO6" s="193">
        <f t="shared" si="18"/>
        <v>0.88188976377952755</v>
      </c>
      <c r="AP6" s="193">
        <f t="shared" si="18"/>
        <v>0.65454545454545454</v>
      </c>
      <c r="AQ6" s="193">
        <f t="shared" si="18"/>
        <v>0.94736842105263153</v>
      </c>
      <c r="AR6" s="193">
        <f t="shared" si="18"/>
        <v>0.98888888888888893</v>
      </c>
      <c r="AS6" s="193">
        <f t="shared" si="18"/>
        <v>1.0792079207920793</v>
      </c>
      <c r="AT6" s="193">
        <f t="shared" si="18"/>
        <v>0.8896551724137931</v>
      </c>
      <c r="AU6" s="193">
        <f t="shared" si="18"/>
        <v>1.1239669421487604</v>
      </c>
      <c r="AV6" s="193">
        <f t="shared" si="18"/>
        <v>1</v>
      </c>
      <c r="AW6" s="193">
        <f t="shared" si="18"/>
        <v>0.97484276729559749</v>
      </c>
      <c r="AX6" s="193">
        <f t="shared" si="18"/>
        <v>1.044776119402985</v>
      </c>
      <c r="AY6" s="193">
        <f t="shared" si="18"/>
        <v>1.0084033613445378</v>
      </c>
      <c r="AZ6" s="193">
        <f t="shared" si="18"/>
        <v>0.94413407821229045</v>
      </c>
      <c r="BA6" s="193">
        <f t="shared" si="18"/>
        <v>0.92432432432432432</v>
      </c>
      <c r="BB6" s="193">
        <f t="shared" si="18"/>
        <v>0.88481675392670156</v>
      </c>
      <c r="BC6" s="193">
        <f t="shared" si="18"/>
        <v>0.72289156626506024</v>
      </c>
      <c r="BD6" s="193">
        <f t="shared" si="18"/>
        <v>0.55462184873949583</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0.37647058823529411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0.42857142857142855</v>
      </c>
      <c r="BH6" s="7" t="str">
        <f t="shared" si="19"/>
        <v>2030_1</v>
      </c>
      <c r="BI6" s="28">
        <f>管理者入力シート!B9</f>
        <v>2030</v>
      </c>
      <c r="BJ6" s="3" t="s">
        <v>21</v>
      </c>
      <c r="BK6" s="9">
        <f>CM7*$AK$13</f>
        <v>86.961948834443135</v>
      </c>
      <c r="BL6" s="9">
        <f>IF(管理者入力シート!$B$14=1,BK3*管理者用人口入力シート!AM$3,IF(管理者入力シート!$B$14=2,BK3*管理者用人口入力シート!AM$7))</f>
        <v>104.22728621246402</v>
      </c>
      <c r="BM6" s="9">
        <f>IF(管理者入力シート!$B$14=1,BL3*管理者用人口入力シート!AN$3,IF(管理者入力シート!$B$14=2,BL3*管理者用人口入力シート!AN$7))</f>
        <v>116.5003785919661</v>
      </c>
      <c r="BN6" s="9">
        <f>IF(管理者入力シート!$B$14=1,BM3*管理者用人口入力シート!AO$3,IF(管理者入力シート!$B$14=2,BM3*管理者用人口入力シート!AO$7))</f>
        <v>71.589457415215662</v>
      </c>
      <c r="BO6" s="9">
        <f>IF(管理者入力シート!$B$14=1,BN3*管理者用人口入力シート!AP$3,IF(管理者入力シート!$B$14=2,BN3*管理者用人口入力シート!AP$7))</f>
        <v>52.049141743077001</v>
      </c>
      <c r="BP6" s="9">
        <f>IF(管理者入力シート!$B$14=1,BO3*管理者用人口入力シート!AQ$3,IF(管理者入力シート!$B$14=2,BO3*管理者用人口入力シート!AQ$7))</f>
        <v>53.571731298975912</v>
      </c>
      <c r="BQ6" s="9">
        <f>IF(管理者入力シート!$B$14=1,BP3*管理者用人口入力シート!AR$3,IF(管理者入力シート!$B$14=2,BP3*管理者用人口入力シート!AR$7))</f>
        <v>85.03199700201813</v>
      </c>
      <c r="BR6" s="9">
        <f>IF(管理者入力シート!$B$14=1,BQ3*管理者用人口入力シート!AS$3,IF(管理者入力シート!$B$14=2,BQ3*管理者用人口入力シート!AS$7))</f>
        <v>84.4497604690701</v>
      </c>
      <c r="BS6" s="9">
        <f>IF(管理者入力シート!$B$14=1,BR3*管理者用人口入力シート!AT$3,IF(管理者入力シート!$B$14=2,BR3*管理者用人口入力シート!AT$7))</f>
        <v>101.67327388391284</v>
      </c>
      <c r="BT6" s="9">
        <f>IF(管理者入力シート!$B$14=1,BS3*管理者用人口入力シート!AU$3,IF(管理者入力シート!$B$14=2,BS3*管理者用人口入力シート!AU$7))</f>
        <v>119.21770760201554</v>
      </c>
      <c r="BU6" s="9">
        <f>IF(管理者入力シート!$B$14=1,BT3*管理者用人口入力シート!AV$3,IF(管理者入力シート!$B$14=2,BT3*管理者用人口入力シート!AV$7))</f>
        <v>128.06366030690634</v>
      </c>
      <c r="BV6" s="9">
        <f>IF(管理者入力シート!$B$14=1,BU3*管理者用人口入力シート!AW$3,IF(管理者入力シート!$B$14=2,BU3*管理者用人口入力シート!AW$7))</f>
        <v>128.52834350116532</v>
      </c>
      <c r="BW6" s="9">
        <f>IF(管理者入力シート!$B$14=1,BV3*管理者用人口入力シート!AX$3,IF(管理者入力シート!$B$14=2,BV3*管理者用人口入力シート!AX$7))</f>
        <v>109.52573968926954</v>
      </c>
      <c r="BX6" s="9">
        <f>IF(管理者入力シート!$B$14=1,BW3*管理者用人口入力シート!AY$3,IF(管理者入力シート!$B$14=2,BW3*管理者用人口入力シート!AY$7))</f>
        <v>114.64076659127124</v>
      </c>
      <c r="BY6" s="9">
        <f>IF(管理者入力シート!$B$14=1,BX3*管理者用人口入力シート!AZ$3,IF(管理者入力シート!$B$14=2,BX3*管理者用人口入力シート!AZ$7))</f>
        <v>141.26828568546964</v>
      </c>
      <c r="BZ6" s="9">
        <f>IF(管理者入力シート!$B$14=1,BY3*管理者用人口入力シート!BA$3,IF(管理者入力シート!$B$14=2,BY3*管理者用人口入力シート!BA$7))</f>
        <v>144.43694252299426</v>
      </c>
      <c r="CA6" s="9">
        <f>IF(管理者入力シート!$B$14=1,BZ3*管理者用人口入力シート!BB$3,IF(管理者入力シート!$B$14=2,BZ3*管理者用人口入力シート!BB$7))</f>
        <v>128.50740260104178</v>
      </c>
      <c r="CB6" s="9">
        <f>IF(管理者入力シート!$B$14=1,CA3*管理者用人口入力シート!BC$3,IF(管理者入力シート!$B$14=2,CA3*管理者用人口入力シート!BC$7))</f>
        <v>74.903364785389286</v>
      </c>
      <c r="CC6" s="9">
        <f>IF(管理者入力シート!$B$14=1,CB3*管理者用人口入力シート!BD$3,IF(管理者入力シート!$B$14=2,CB3*管理者用人口入力シート!BD$7))</f>
        <v>27.793346951181345</v>
      </c>
      <c r="CD6" s="9">
        <f>IF(管理者入力シート!$B$14=1,CC3*管理者用人口入力シート!BE$3,IF(管理者入力シート!$B$14=2,CC3*管理者用人口入力シート!BE$7))</f>
        <v>11.896382814863621</v>
      </c>
      <c r="CE6" s="9">
        <f>IF(管理者入力シート!$B$14=1,CD3*管理者用人口入力シート!BF$3,IF(管理者入力シート!$B$14=2,CD3*管理者用人口入力シート!BF$7))</f>
        <v>3.0889543816648595</v>
      </c>
      <c r="CF6" s="9">
        <f t="shared" si="2"/>
        <v>1887.9258728843761</v>
      </c>
      <c r="CG6" s="9">
        <f t="shared" si="20"/>
        <v>132.43659888265807</v>
      </c>
      <c r="CH6" s="9">
        <f t="shared" si="21"/>
        <v>60.918042919829574</v>
      </c>
      <c r="CI6" s="9">
        <f t="shared" si="3"/>
        <v>646.53544633387594</v>
      </c>
      <c r="CJ6" s="9">
        <f t="shared" si="22"/>
        <v>390.62639405713509</v>
      </c>
      <c r="CK6" s="13">
        <f t="shared" si="23"/>
        <v>0.34245806767089754</v>
      </c>
      <c r="CL6" s="13">
        <f t="shared" si="24"/>
        <v>0.20690769678384432</v>
      </c>
      <c r="CM6" s="9">
        <f t="shared" si="25"/>
        <v>275.10263051314115</v>
      </c>
      <c r="CO6" s="7" t="str">
        <f t="shared" si="26"/>
        <v>2030_1</v>
      </c>
      <c r="CP6" s="28">
        <f>管理者入力シート!B9</f>
        <v>2030</v>
      </c>
      <c r="CQ6" s="3" t="s">
        <v>21</v>
      </c>
      <c r="CR6" s="9">
        <f>DT7*$AK$13+将来予測シート②!$G17</f>
        <v>89.218516695810663</v>
      </c>
      <c r="CS6" s="9">
        <f>IF(管理者入力シート!$B$14=1,CR3*管理者用人口入力シート!AM$3,IF(管理者入力シート!$B$14=2,CR3*管理者用人口入力シート!AM$7))+将来予測シート②!$G18</f>
        <v>105.32428107432217</v>
      </c>
      <c r="CT6" s="9">
        <f>IF(管理者入力シート!$B$14=1,CS3*管理者用人口入力シート!AN$3,IF(管理者入力シート!$B$14=2,CS3*管理者用人口入力シート!AN$7))+将来予測シート②!$G19</f>
        <v>117.5003785919661</v>
      </c>
      <c r="CU6" s="9">
        <f>IF(管理者入力シート!$B$14=1,CT3*管理者用人口入力シート!AO$3,IF(管理者入力シート!$B$14=2,CT3*管理者用人口入力シート!AO$7))+将来予測シート②!$G20</f>
        <v>72.372674598554269</v>
      </c>
      <c r="CV6" s="9">
        <f>IF(管理者入力シート!$B$14=1,CU3*管理者用人口入力シート!AP$3,IF(管理者入力シート!$B$14=2,CU3*管理者用人口入力シート!AP$7))+将来予測シート②!$G21</f>
        <v>52.049141743077001</v>
      </c>
      <c r="CW6" s="9">
        <f>IF(管理者入力シート!$B$14=1,CV3*管理者用人口入力シート!AQ$3,IF(管理者入力シート!$B$14=2,CV3*管理者用人口入力シート!AQ$7))+将来予測シート②!$G22</f>
        <v>55.571731298975912</v>
      </c>
      <c r="CX6" s="9">
        <f>IF(管理者入力シート!$B$14=1,CW3*管理者用人口入力シート!AR$3,IF(管理者入力シート!$B$14=2,CW3*管理者用人口入力シート!AR$7))+将来予測シート②!$G23</f>
        <v>87.208069545458315</v>
      </c>
      <c r="CY6" s="9">
        <f>IF(管理者入力シート!$B$14=1,CX3*管理者用人口入力シート!AS$3,IF(管理者入力シート!$B$14=2,CX3*管理者用人口入力シート!AS$7))+将来予測シート②!$G24</f>
        <v>84.4497604690701</v>
      </c>
      <c r="CZ6" s="9">
        <f>IF(管理者入力シート!$B$14=1,CY3*管理者用人口入力シート!AT$3,IF(管理者入力シート!$B$14=2,CY3*管理者用人口入力シート!AT$7))+将来予測シート②!$G25</f>
        <v>101.67327388391284</v>
      </c>
      <c r="DA6" s="9">
        <f>IF(管理者入力シート!$B$14=1,CZ3*管理者用人口入力シート!AU$3,IF(管理者入力シート!$B$14=2,CZ3*管理者用人口入力シート!AU$7))+将来予測シート②!$G26</f>
        <v>119.21770760201554</v>
      </c>
      <c r="DB6" s="9">
        <f>IF(管理者入力シート!$B$14=1,DA3*管理者用人口入力シート!AV$3,IF(管理者入力シート!$B$14=2,DA3*管理者用人口入力シート!AV$7))+将来予測シート②!$G27</f>
        <v>128.06366030690634</v>
      </c>
      <c r="DC6" s="9">
        <f>IF(管理者入力シート!$B$14=1,DB3*管理者用人口入力シート!AW$3,IF(管理者入力シート!$B$14=2,DB3*管理者用人口入力シート!AW$7))+将来予測シート②!$G28</f>
        <v>128.52834350116532</v>
      </c>
      <c r="DD6" s="9">
        <f>IF(管理者入力シート!$B$14=1,DC3*管理者用人口入力シート!AX$3,IF(管理者入力シート!$B$14=2,DC3*管理者用人口入力シート!AX$7))+将来予測シート②!$G29</f>
        <v>109.52573968926954</v>
      </c>
      <c r="DE6" s="9">
        <f>IF(管理者入力シート!$B$14=1,DD3*管理者用人口入力シート!AY$3,IF(管理者入力シート!$B$14=2,DD3*管理者用人口入力シート!AY$7))</f>
        <v>114.64076659127124</v>
      </c>
      <c r="DF6" s="9">
        <f>IF(管理者入力シート!$B$14=1,DE3*管理者用人口入力シート!AZ$3,IF(管理者入力シート!$B$14=2,DE3*管理者用人口入力シート!AZ$7))</f>
        <v>141.26828568546964</v>
      </c>
      <c r="DG6" s="9">
        <f>IF(管理者入力シート!$B$14=1,DF3*管理者用人口入力シート!BA$3,IF(管理者入力シート!$B$14=2,DF3*管理者用人口入力シート!BA$7))</f>
        <v>144.43694252299426</v>
      </c>
      <c r="DH6" s="9">
        <f>IF(管理者入力シート!$B$14=1,DG3*管理者用人口入力シート!BB$3,IF(管理者入力シート!$B$14=2,DG3*管理者用人口入力シート!BB$7))</f>
        <v>128.50740260104178</v>
      </c>
      <c r="DI6" s="9">
        <f>IF(管理者入力シート!$B$14=1,DH3*管理者用人口入力シート!BC$3,IF(管理者入力シート!$B$14=2,DH3*管理者用人口入力シート!BC$7))</f>
        <v>74.903364785389286</v>
      </c>
      <c r="DJ6" s="9">
        <f>IF(管理者入力シート!$B$14=1,DI3*管理者用人口入力シート!BD$3,IF(管理者入力シート!$B$14=2,DI3*管理者用人口入力シート!BD$7))</f>
        <v>27.793346951181345</v>
      </c>
      <c r="DK6" s="9">
        <f>IF(管理者入力シート!$B$14=1,DJ3*管理者用人口入力シート!BE$3,IF(管理者入力シート!$B$14=2,DJ3*管理者用人口入力シート!BE$7))</f>
        <v>11.896382814863621</v>
      </c>
      <c r="DL6" s="9">
        <f>IF(管理者入力シート!$B$14=1,DK3*管理者用人口入力シート!BF$3,IF(管理者入力シート!$B$14=2,DK3*管理者用人口入力シート!BF$7))</f>
        <v>3.0889543816648595</v>
      </c>
      <c r="DM6" s="9">
        <f t="shared" ref="DM6:DM14" si="69">SUM(CR6:DL6)</f>
        <v>1897.2387253343809</v>
      </c>
      <c r="DN6" s="9">
        <f t="shared" si="34"/>
        <v>133.69479579977298</v>
      </c>
      <c r="DO6" s="9">
        <f t="shared" si="35"/>
        <v>61.474686356497294</v>
      </c>
      <c r="DP6" s="9">
        <f t="shared" si="6"/>
        <v>646.53544633387594</v>
      </c>
      <c r="DQ6" s="9">
        <f t="shared" si="36"/>
        <v>390.62639405713509</v>
      </c>
      <c r="DR6" s="13">
        <f t="shared" si="37"/>
        <v>0.34077706600677077</v>
      </c>
      <c r="DS6" s="13">
        <f t="shared" si="38"/>
        <v>0.20589206241733693</v>
      </c>
      <c r="DT6" s="9">
        <f t="shared" ref="DT6:DT14" si="70">SUM(CV6:CY6)</f>
        <v>279.27870305658132</v>
      </c>
      <c r="DV6" s="7" t="s">
        <v>400</v>
      </c>
      <c r="DX6" s="28">
        <f>管理者入力シート!B9</f>
        <v>2030</v>
      </c>
      <c r="DY6" s="3" t="s">
        <v>21</v>
      </c>
      <c r="DZ6" s="9">
        <f>FB7*$AK$13</f>
        <v>129.49297557373569</v>
      </c>
      <c r="EA6" s="129">
        <f>IF(管理者入力シート!$B$14=1,DZ3*管理者用人口入力シート!AM$3,IF(管理者入力シート!$B$14=2,DZ3*管理者用人口入力シート!AM$7))</f>
        <v>104.22728621246402</v>
      </c>
      <c r="EB6" s="9">
        <f>IF(管理者入力シート!$B$14=1,EA3*管理者用人口入力シート!AN$3,IF(管理者入力シート!$B$14=2,EA3*管理者用人口入力シート!AN$7))</f>
        <v>116.5003785919661</v>
      </c>
      <c r="EC6" s="9">
        <f>IF(管理者入力シート!$B$14=1,EB3*管理者用人口入力シート!AO$3,IF(管理者入力シート!$B$14=2,EB3*管理者用人口入力シート!AO$7))</f>
        <v>71.589457415215662</v>
      </c>
      <c r="ED6" s="9">
        <f>IF(管理者入力シート!$B$14=1,EC3*管理者用人口入力シート!AP$3,IF(管理者入力シート!$B$14=2,EC3*管理者用人口入力シート!AP$7))</f>
        <v>52.049141743077001</v>
      </c>
      <c r="EE6" s="9">
        <f>IF(管理者入力シート!$B$14=1,ED3*管理者用人口入力シート!AQ$3,IF(管理者入力シート!$B$14=2,ED3*管理者用人口入力シート!AQ$7))+DX1</f>
        <v>80.571731298975919</v>
      </c>
      <c r="EF6" s="9">
        <f>IF(管理者入力シート!$B$14=1,EE3*管理者用人口入力シート!AR$3,IF(管理者入力シート!$B$14=2,EE3*管理者用人口入力シート!AR$7))+DX1</f>
        <v>141.40897633846066</v>
      </c>
      <c r="EG6" s="9">
        <f>IF(管理者入力シート!$B$14=1,EF3*管理者用人口入力シート!AS$3,IF(管理者入力シート!$B$14=2,EF3*管理者用人口入力シート!AS$7))+DX1</f>
        <v>138.99400802535274</v>
      </c>
      <c r="EH6" s="9">
        <f>IF(管理者入力シート!$B$14=1,EG3*管理者用人口入力シート!AT$3,IF(管理者入力シート!$B$14=2,EG3*管理者用人口入力シート!AT$7))</f>
        <v>129.38609517796419</v>
      </c>
      <c r="EI6" s="9">
        <f>IF(管理者入力シート!$B$14=1,EH3*管理者用人口入力シート!AU$3,IF(管理者入力シート!$B$14=2,EH3*管理者用人口入力シート!AU$7))</f>
        <v>119.21770760201554</v>
      </c>
      <c r="EJ6" s="9">
        <f>IF(管理者入力シート!$B$14=1,EI3*管理者用人口入力シート!AV$3,IF(管理者入力シート!$B$14=2,EI3*管理者用人口入力シート!AV$7))</f>
        <v>128.06366030690634</v>
      </c>
      <c r="EK6" s="9">
        <f>IF(管理者入力シート!$B$14=1,EJ3*管理者用人口入力シート!AW$3,IF(管理者入力シート!$B$14=2,EJ3*管理者用人口入力シート!AW$7))</f>
        <v>128.52834350116532</v>
      </c>
      <c r="EL6" s="9">
        <f>IF(管理者入力シート!$B$14=1,EK3*管理者用人口入力シート!AX$3,IF(管理者入力シート!$B$14=2,EK3*管理者用人口入力シート!AX$7))</f>
        <v>109.52573968926954</v>
      </c>
      <c r="EM6" s="9">
        <f>IF(管理者入力シート!$B$14=1,EL3*管理者用人口入力シート!AY$3,IF(管理者入力シート!$B$14=2,EL3*管理者用人口入力シート!AY$7))</f>
        <v>114.64076659127124</v>
      </c>
      <c r="EN6" s="9">
        <f>IF(管理者入力シート!$B$14=1,EM3*管理者用人口入力シート!AZ$3,IF(管理者入力シート!$B$14=2,EM3*管理者用人口入力シート!AZ$7))</f>
        <v>141.26828568546964</v>
      </c>
      <c r="EO6" s="9">
        <f>IF(管理者入力シート!$B$14=1,EN3*管理者用人口入力シート!BA$3,IF(管理者入力シート!$B$14=2,EN3*管理者用人口入力シート!BA$7))</f>
        <v>144.43694252299426</v>
      </c>
      <c r="EP6" s="9">
        <f>IF(管理者入力シート!$B$14=1,EO3*管理者用人口入力シート!BB$3,IF(管理者入力シート!$B$14=2,EO3*管理者用人口入力シート!BB$7))</f>
        <v>128.50740260104178</v>
      </c>
      <c r="EQ6" s="9">
        <f>IF(管理者入力シート!$B$14=1,EP3*管理者用人口入力シート!BC$3,IF(管理者入力シート!$B$14=2,EP3*管理者用人口入力シート!BC$7))</f>
        <v>74.903364785389286</v>
      </c>
      <c r="ER6" s="9">
        <f>IF(管理者入力シート!$B$14=1,EQ3*管理者用人口入力シート!BD$3,IF(管理者入力シート!$B$14=2,EQ3*管理者用人口入力シート!BD$7))</f>
        <v>27.793346951181345</v>
      </c>
      <c r="ES6" s="9">
        <f>IF(管理者入力シート!$B$14=1,ER3*管理者用人口入力シート!BE$3,IF(管理者入力シート!$B$14=2,ER3*管理者用人口入力シート!BE$7))</f>
        <v>11.896382814863621</v>
      </c>
      <c r="ET6" s="9">
        <f>IF(管理者入力シート!$B$14=1,ES3*管理者用人口入力シート!BF$3,IF(管理者入力シート!$B$14=2,ES3*管理者用人口入力シート!BF$7))</f>
        <v>3.0889543816648595</v>
      </c>
      <c r="EU6" s="9">
        <f t="shared" ref="EU6:EU14" si="71">SUM(DZ6:ET6)</f>
        <v>2096.090947810445</v>
      </c>
      <c r="EV6" s="9">
        <f t="shared" si="41"/>
        <v>132.43659888265807</v>
      </c>
      <c r="EW6" s="9">
        <f t="shared" si="42"/>
        <v>60.918042919829574</v>
      </c>
      <c r="EX6" s="9">
        <f t="shared" si="10"/>
        <v>646.53544633387594</v>
      </c>
      <c r="EY6" s="9">
        <f t="shared" si="43"/>
        <v>390.62639405713509</v>
      </c>
      <c r="EZ6" s="13">
        <f t="shared" si="44"/>
        <v>0.30844818399184454</v>
      </c>
      <c r="FA6" s="13">
        <f t="shared" si="45"/>
        <v>0.18635946806849168</v>
      </c>
      <c r="FB6" s="9">
        <f t="shared" ref="FB6:FB14" si="72">SUM(ED6:EG6)</f>
        <v>413.02385740586635</v>
      </c>
    </row>
    <row r="7" spans="1:158" x14ac:dyDescent="0.15">
      <c r="A7" s="7" t="str">
        <f t="shared" si="11"/>
        <v>2010_2</v>
      </c>
      <c r="B7" s="29">
        <v>2010</v>
      </c>
      <c r="C7" s="4" t="s">
        <v>22</v>
      </c>
      <c r="D7" s="10">
        <v>86</v>
      </c>
      <c r="E7" s="10">
        <v>115</v>
      </c>
      <c r="F7" s="10">
        <v>127</v>
      </c>
      <c r="G7" s="10">
        <v>110</v>
      </c>
      <c r="H7" s="10">
        <v>76</v>
      </c>
      <c r="I7" s="10">
        <v>90</v>
      </c>
      <c r="J7" s="10">
        <v>101</v>
      </c>
      <c r="K7" s="10">
        <v>145</v>
      </c>
      <c r="L7" s="10">
        <v>121</v>
      </c>
      <c r="M7" s="10">
        <v>120</v>
      </c>
      <c r="N7" s="10">
        <v>159</v>
      </c>
      <c r="O7" s="10">
        <v>201</v>
      </c>
      <c r="P7" s="10">
        <v>238</v>
      </c>
      <c r="Q7" s="10">
        <v>179</v>
      </c>
      <c r="R7" s="10">
        <v>185</v>
      </c>
      <c r="S7" s="10">
        <v>191</v>
      </c>
      <c r="T7" s="10">
        <v>166</v>
      </c>
      <c r="U7" s="10">
        <v>119</v>
      </c>
      <c r="V7" s="10">
        <v>85</v>
      </c>
      <c r="W7" s="10">
        <v>21</v>
      </c>
      <c r="X7" s="10">
        <v>5</v>
      </c>
      <c r="Y7" s="10">
        <f t="shared" si="68"/>
        <v>2640</v>
      </c>
      <c r="Z7" s="10">
        <f t="shared" si="12"/>
        <v>145.19999999999999</v>
      </c>
      <c r="AA7" s="10">
        <f t="shared" si="13"/>
        <v>72.8</v>
      </c>
      <c r="AB7" s="10">
        <f t="shared" si="0"/>
        <v>951</v>
      </c>
      <c r="AC7" s="10">
        <f t="shared" si="14"/>
        <v>587</v>
      </c>
      <c r="AD7" s="14">
        <f t="shared" si="15"/>
        <v>0.36022727272727273</v>
      </c>
      <c r="AE7" s="14">
        <f t="shared" si="16"/>
        <v>0.22234848484848485</v>
      </c>
      <c r="AF7" s="10">
        <f t="shared" si="17"/>
        <v>412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1.0969948618581569</v>
      </c>
      <c r="AN7" s="48">
        <f t="shared" si="73"/>
        <v>1.0494401825242137</v>
      </c>
      <c r="AO7" s="48">
        <f t="shared" si="73"/>
        <v>0.78321718333860024</v>
      </c>
      <c r="AP7" s="48">
        <f t="shared" si="73"/>
        <v>0.6768829474623963</v>
      </c>
      <c r="AQ7" s="48">
        <f t="shared" si="73"/>
        <v>0.98800304647966497</v>
      </c>
      <c r="AR7" s="48">
        <f t="shared" si="73"/>
        <v>1.0880362717200935</v>
      </c>
      <c r="AS7" s="48">
        <f t="shared" si="73"/>
        <v>1.0201573168993574</v>
      </c>
      <c r="AT7" s="48">
        <f t="shared" si="73"/>
        <v>1.0264007886685684</v>
      </c>
      <c r="AU7" s="48">
        <f t="shared" si="73"/>
        <v>1.0736213797674827</v>
      </c>
      <c r="AV7" s="48">
        <f t="shared" si="73"/>
        <v>1.0095701814716214</v>
      </c>
      <c r="AW7" s="48">
        <f t="shared" si="73"/>
        <v>0.95555307319235272</v>
      </c>
      <c r="AX7" s="48">
        <f t="shared" si="73"/>
        <v>0.95426742688626665</v>
      </c>
      <c r="AY7" s="48">
        <f t="shared" si="73"/>
        <v>0.99992665881432119</v>
      </c>
      <c r="AZ7" s="48">
        <f t="shared" si="73"/>
        <v>0.91024707624754553</v>
      </c>
      <c r="BA7" s="48">
        <f t="shared" si="73"/>
        <v>0.87567935361832139</v>
      </c>
      <c r="BB7" s="48">
        <f t="shared" si="73"/>
        <v>0.82813906817118876</v>
      </c>
      <c r="BC7" s="48">
        <f t="shared" si="73"/>
        <v>0.60571150333912949</v>
      </c>
      <c r="BD7" s="48">
        <f t="shared" si="73"/>
        <v>0.40895563336944379</v>
      </c>
      <c r="BE7" s="48">
        <f t="shared" si="73"/>
        <v>0.4092777280252764</v>
      </c>
      <c r="BF7" s="48">
        <f t="shared" si="73"/>
        <v>0.25955427380922008</v>
      </c>
      <c r="BH7" s="7" t="str">
        <f t="shared" si="19"/>
        <v>2030_2</v>
      </c>
      <c r="BI7" s="29">
        <f>BI6</f>
        <v>2030</v>
      </c>
      <c r="BJ7" s="4" t="s">
        <v>22</v>
      </c>
      <c r="BK7" s="10">
        <f>CM7*$AK$14</f>
        <v>62.73170185931717</v>
      </c>
      <c r="BL7" s="10">
        <f>IF(管理者入力シート!$B$14=1,BK4*管理者用人口入力シート!AM$4,IF(管理者入力シート!$B$14=2,BK4*管理者用人口入力シート!AM$8))</f>
        <v>74.678169576402126</v>
      </c>
      <c r="BM7" s="10">
        <f>IF(管理者入力シート!$B$14=1,BL4*管理者用人口入力シート!AN$4,IF(管理者入力シート!$B$14=2,BL4*管理者用人口入力シート!AN$8))</f>
        <v>78.705721470335305</v>
      </c>
      <c r="BN7" s="10">
        <f>IF(管理者入力シート!$B$14=1,BM4*管理者用人口入力シート!AO$4,IF(管理者入力シート!$B$14=2,BM4*管理者用人口入力シート!AO$8))</f>
        <v>87.316853757587211</v>
      </c>
      <c r="BO7" s="10">
        <f>IF(管理者入力シート!$B$14=1,BN4*管理者用人口入力シート!AP$4,IF(管理者入力シート!$B$14=2,BN4*管理者用人口入力シート!AP$8))</f>
        <v>47.386270287828879</v>
      </c>
      <c r="BP7" s="10">
        <f>IF(管理者入力シート!$B$14=1,BO4*管理者用人口入力シート!AQ$4,IF(管理者入力シート!$B$14=2,BO4*管理者用人口入力シート!AQ$8))</f>
        <v>66.74022158364096</v>
      </c>
      <c r="BQ7" s="10">
        <f>IF(管理者入力シート!$B$14=1,BP4*管理者用人口入力シート!AR$4,IF(管理者入力シート!$B$14=2,BP4*管理者用人口入力シート!AR$8))</f>
        <v>72.520473347744343</v>
      </c>
      <c r="BR7" s="10">
        <f>IF(管理者入力シート!$B$14=1,BQ4*管理者用人口入力シート!AS$4,IF(管理者入力シート!$B$14=2,BQ4*管理者用人口入力シート!AS$8))</f>
        <v>98.653377483433829</v>
      </c>
      <c r="BS7" s="10">
        <f>IF(管理者入力シート!$B$14=1,BR4*管理者用人口入力シート!AT$4,IF(管理者入力シート!$B$14=2,BR4*管理者用人口入力シート!AT$8))</f>
        <v>87.918166663357752</v>
      </c>
      <c r="BT7" s="10">
        <f>IF(管理者入力シート!$B$14=1,BS4*管理者用人口入力シート!AU$4,IF(管理者入力シート!$B$14=2,BS4*管理者用人口入力シート!AU$8))</f>
        <v>108.45744498840091</v>
      </c>
      <c r="BU7" s="10">
        <f>IF(管理者入力シート!$B$14=1,BT4*管理者用人口入力シート!AV$4,IF(管理者入力シート!$B$14=2,BT4*管理者用人口入力シート!AV$8))</f>
        <v>129.32541306318373</v>
      </c>
      <c r="BV7" s="10">
        <f>IF(管理者入力シート!$B$14=1,BU4*管理者用人口入力シート!AW$4,IF(管理者入力シート!$B$14=2,BU4*管理者用人口入力シート!AW$8))</f>
        <v>137.67109474183016</v>
      </c>
      <c r="BW7" s="10">
        <f>IF(管理者入力シート!$B$14=1,BV4*管理者用人口入力シート!AX$4,IF(管理者入力シート!$B$14=2,BV4*管理者用人口入力シート!AX$8))</f>
        <v>136.81969256552838</v>
      </c>
      <c r="BX7" s="10">
        <f>IF(管理者入力シート!$B$14=1,BW4*管理者用人口入力シート!AY$4,IF(管理者入力シート!$B$14=2,BW4*管理者用人口入力シート!AY$8))</f>
        <v>115.70057006546729</v>
      </c>
      <c r="BY7" s="10">
        <f>IF(管理者入力シート!$B$14=1,BX4*管理者用人口入力シート!AZ$4,IF(管理者入力シート!$B$14=2,BX4*管理者用人口入力シート!AZ$8))</f>
        <v>147.95521852218977</v>
      </c>
      <c r="BZ7" s="10">
        <f>IF(管理者入力シート!$B$14=1,BY4*管理者用人口入力シート!BA$4,IF(管理者入力シート!$B$14=2,BY4*管理者用人口入力シート!BA$8))</f>
        <v>190.03153233740022</v>
      </c>
      <c r="CA7" s="10">
        <f>IF(管理者入力シート!$B$14=1,BZ4*管理者用人口入力シート!BB$4,IF(管理者入力シート!$B$14=2,BZ4*管理者用人口入力シート!BB$8))</f>
        <v>199.2920641748523</v>
      </c>
      <c r="CB7" s="10">
        <f>IF(管理者入力シート!$B$14=1,CA4*管理者用人口入力シート!BC$4,IF(管理者入力シート!$B$14=2,CA4*管理者用人口入力シート!BC$8))</f>
        <v>118.46254667966544</v>
      </c>
      <c r="CC7" s="10">
        <f>IF(管理者入力シート!$B$14=1,CB4*管理者用人口入力シート!BD$4,IF(管理者入力シート!$B$14=2,CB4*管理者用人口入力シート!BD$8))</f>
        <v>73.824633744102016</v>
      </c>
      <c r="CD7" s="10">
        <f>IF(管理者入力シート!$B$14=1,CC4*管理者用人口入力シート!BE$4,IF(管理者入力シート!$B$14=2,CC4*管理者用人口入力シート!BE$8))</f>
        <v>41.575922408361706</v>
      </c>
      <c r="CE7" s="10">
        <f>IF(管理者入力シート!$B$14=1,CD4*管理者用人口入力シート!BF$4,IF(管理者入力シート!$B$14=2,CD4*管理者用人口入力シート!BF$8))</f>
        <v>6.8067283479024656</v>
      </c>
      <c r="CF7" s="10">
        <f t="shared" si="2"/>
        <v>2082.5738176685322</v>
      </c>
      <c r="CG7" s="10">
        <f t="shared" si="20"/>
        <v>92.030334628042453</v>
      </c>
      <c r="CH7" s="10">
        <f t="shared" si="21"/>
        <v>48.945659339651563</v>
      </c>
      <c r="CI7" s="10">
        <f t="shared" si="3"/>
        <v>893.64921627994124</v>
      </c>
      <c r="CJ7" s="10">
        <f t="shared" si="22"/>
        <v>629.99342769228406</v>
      </c>
      <c r="CK7" s="14">
        <f t="shared" si="23"/>
        <v>0.42910806267620943</v>
      </c>
      <c r="CL7" s="14">
        <f t="shared" si="24"/>
        <v>0.30250712956603365</v>
      </c>
      <c r="CM7" s="10">
        <f t="shared" si="25"/>
        <v>285.30034270264798</v>
      </c>
      <c r="CO7" s="7" t="str">
        <f t="shared" si="26"/>
        <v>2030_2</v>
      </c>
      <c r="CP7" s="29">
        <f>CP6</f>
        <v>2030</v>
      </c>
      <c r="CQ7" s="4" t="s">
        <v>22</v>
      </c>
      <c r="CR7" s="10">
        <f>DT7*$AK$14+将来予測シート②!$H17</f>
        <v>64.638151651459907</v>
      </c>
      <c r="CS7" s="10">
        <f>IF(管理者入力シート!$B$14=1,CR4*管理者用人口入力シート!AM$4,IF(管理者入力シート!$B$14=2,CR4*管理者用人口入力シート!AM$8))+将来予測シート②!$H18</f>
        <v>75.767749323032419</v>
      </c>
      <c r="CT7" s="10">
        <f>IF(管理者入力シート!$B$14=1,CS4*管理者用人口入力シート!AN$4,IF(管理者入力シート!$B$14=2,CS4*管理者用人口入力シート!AN$8))+将来予測シート②!$H19</f>
        <v>79.705721470335305</v>
      </c>
      <c r="CU7" s="10">
        <f>IF(管理者入力シート!$B$14=1,CT4*管理者用人口入力シート!AO$4,IF(管理者入力シート!$B$14=2,CT4*管理者用人口入力シート!AO$8))+将来予測シート②!$H20</f>
        <v>88.190533533112614</v>
      </c>
      <c r="CV7" s="10">
        <f>IF(管理者入力シート!$B$14=1,CU4*管理者用人口入力シート!AP$4,IF(管理者入力シート!$B$14=2,CU4*管理者用人口入力シート!AP$8))+将来予測シート②!$H21</f>
        <v>47.386270287828879</v>
      </c>
      <c r="CW7" s="10">
        <f>IF(管理者入力シート!$B$14=1,CV4*管理者用人口入力シート!AQ$4,IF(管理者入力シート!$B$14=2,CV4*管理者用人口入力シート!AQ$8))+将来予測シート②!$H22</f>
        <v>68.74022158364096</v>
      </c>
      <c r="CX7" s="10">
        <f>IF(管理者入力シート!$B$14=1,CW4*管理者用人口入力シート!AR$4,IF(管理者入力シート!$B$14=2,CW4*管理者用人口入力シート!AR$8))+将来予測シート②!$H23</f>
        <v>74.64295733392774</v>
      </c>
      <c r="CY7" s="10">
        <f>IF(管理者入力シート!$B$14=1,CX4*管理者用人口入力シート!AS$4,IF(管理者入力シート!$B$14=2,CX4*管理者用人口入力シート!AS$8))+将来予測シート②!$H24</f>
        <v>98.653377483433829</v>
      </c>
      <c r="CZ7" s="10">
        <f>IF(管理者入力シート!$B$14=1,CY4*管理者用人口入力シート!AT$4,IF(管理者入力シート!$B$14=2,CY4*管理者用人口入力シート!AT$8))+将来予測シート②!$H25</f>
        <v>88.918166663357752</v>
      </c>
      <c r="DA7" s="10">
        <f>IF(管理者入力シート!$B$14=1,CZ4*管理者用人口入力シート!AU$4,IF(管理者入力シート!$B$14=2,CZ4*管理者用人口入力シート!AU$8))+将来予測シート②!$H26</f>
        <v>109.56583210783829</v>
      </c>
      <c r="DB7" s="10">
        <f>IF(管理者入力シート!$B$14=1,DA4*管理者用人口入力シート!AV$4,IF(管理者入力シート!$B$14=2,DA4*管理者用人口入力シート!AV$8))+将来予測シート②!$H27</f>
        <v>129.32541306318373</v>
      </c>
      <c r="DC7" s="10">
        <f>IF(管理者入力シート!$B$14=1,DB4*管理者用人口入力シート!AW$4,IF(管理者入力シート!$B$14=2,DB4*管理者用人口入力シート!AW$8))+将来予測シート②!$H28</f>
        <v>137.67109474183016</v>
      </c>
      <c r="DD7" s="10">
        <f>IF(管理者入力シート!$B$14=1,DC4*管理者用人口入力シート!AX$4,IF(管理者入力シート!$B$14=2,DC4*管理者用人口入力シート!AX$8))+将来予測シート②!$H29</f>
        <v>136.81969256552838</v>
      </c>
      <c r="DE7" s="10">
        <f>IF(管理者入力シート!$B$14=1,DD4*管理者用人口入力シート!AY$4,IF(管理者入力シート!$B$14=2,DD4*管理者用人口入力シート!AY$8))</f>
        <v>115.70057006546729</v>
      </c>
      <c r="DF7" s="10">
        <f>IF(管理者入力シート!$B$14=1,DE4*管理者用人口入力シート!AZ$4,IF(管理者入力シート!$B$14=2,DE4*管理者用人口入力シート!AZ$8))</f>
        <v>147.95521852218977</v>
      </c>
      <c r="DG7" s="10">
        <f>IF(管理者入力シート!$B$14=1,DF4*管理者用人口入力シート!BA$4,IF(管理者入力シート!$B$14=2,DF4*管理者用人口入力シート!BA$8))</f>
        <v>190.03153233740022</v>
      </c>
      <c r="DH7" s="10">
        <f>IF(管理者入力シート!$B$14=1,DG4*管理者用人口入力シート!BB$4,IF(管理者入力シート!$B$14=2,DG4*管理者用人口入力シート!BB$8))</f>
        <v>199.2920641748523</v>
      </c>
      <c r="DI7" s="10">
        <f>IF(管理者入力シート!$B$14=1,DH4*管理者用人口入力シート!BC$4,IF(管理者入力シート!$B$14=2,DH4*管理者用人口入力シート!BC$8))</f>
        <v>118.46254667966544</v>
      </c>
      <c r="DJ7" s="10">
        <f>IF(管理者入力シート!$B$14=1,DI4*管理者用人口入力シート!BD$4,IF(管理者入力シート!$B$14=2,DI4*管理者用人口入力シート!BD$8))</f>
        <v>73.824633744102016</v>
      </c>
      <c r="DK7" s="10">
        <f>IF(管理者入力シート!$B$14=1,DJ4*管理者用人口入力シート!BE$4,IF(管理者入力シート!$B$14=2,DJ4*管理者用人口入力シート!BE$8))</f>
        <v>41.575922408361706</v>
      </c>
      <c r="DL7" s="10">
        <f>IF(管理者入力シート!$B$14=1,DK4*管理者用人口入力シート!BF$4,IF(管理者入力シート!$B$14=2,DK4*管理者用人口入力シート!BF$8))</f>
        <v>6.8067283479024656</v>
      </c>
      <c r="DM7" s="10">
        <f t="shared" si="69"/>
        <v>2093.6743980884517</v>
      </c>
      <c r="DN7" s="10">
        <f t="shared" si="34"/>
        <v>93.284082476020629</v>
      </c>
      <c r="DO7" s="10">
        <f t="shared" si="35"/>
        <v>49.520395294756646</v>
      </c>
      <c r="DP7" s="10">
        <f t="shared" si="6"/>
        <v>893.64921627994124</v>
      </c>
      <c r="DQ7" s="10">
        <f t="shared" si="36"/>
        <v>629.99342769228406</v>
      </c>
      <c r="DR7" s="14">
        <f t="shared" si="37"/>
        <v>0.42683294837814945</v>
      </c>
      <c r="DS7" s="14">
        <f t="shared" si="38"/>
        <v>0.30090324850295497</v>
      </c>
      <c r="DT7" s="10">
        <f t="shared" si="70"/>
        <v>289.42282668883138</v>
      </c>
      <c r="DV7" s="7" t="s">
        <v>401</v>
      </c>
      <c r="DW7" s="209">
        <f>(SUM(BK12:BW12)-SUM(D12:P12))/4</f>
        <v>-70.90955248674311</v>
      </c>
      <c r="DX7" s="29">
        <f>DX6</f>
        <v>2030</v>
      </c>
      <c r="DY7" s="4" t="s">
        <v>22</v>
      </c>
      <c r="DZ7" s="10">
        <f>FB7*$AK$14</f>
        <v>93.412289460445223</v>
      </c>
      <c r="EA7" s="10">
        <f>IF(管理者入力シート!$B$14=1,DZ4*管理者用人口入力シート!AM$4,IF(管理者入力シート!$B$14=2,DZ4*管理者用人口入力シート!AM$8))</f>
        <v>74.678169576402126</v>
      </c>
      <c r="EB7" s="10">
        <f>IF(管理者入力シート!$B$14=1,EA4*管理者用人口入力シート!AN$4,IF(管理者入力シート!$B$14=2,EA4*管理者用人口入力シート!AN$8))</f>
        <v>78.705721470335305</v>
      </c>
      <c r="EC7" s="10">
        <f>IF(管理者入力シート!$B$14=1,EB4*管理者用人口入力シート!AO$4,IF(管理者入力シート!$B$14=2,EB4*管理者用人口入力シート!AO$8))</f>
        <v>87.316853757587211</v>
      </c>
      <c r="ED7" s="10">
        <f>IF(管理者入力シート!$B$14=1,EC4*管理者用人口入力シート!AP$4,IF(管理者入力シート!$B$14=2,EC4*管理者用人口入力シート!AP$8))</f>
        <v>47.386270287828879</v>
      </c>
      <c r="EE7" s="10">
        <f>IF(管理者入力シート!$B$14=1,ED4*管理者用人口入力シート!AQ$4,IF(管理者入力シート!$B$14=2,ED4*管理者用人口入力シート!AQ$8))+DX1</f>
        <v>93.74022158364096</v>
      </c>
      <c r="EF7" s="10">
        <f>IF(管理者入力シート!$B$14=1,EE4*管理者用人口入力シート!AR$4,IF(管理者入力シート!$B$14=2,EE4*管理者用人口入力シート!AR$8))+DX1</f>
        <v>128.17400716122012</v>
      </c>
      <c r="EG7" s="10">
        <f>IF(管理者入力シート!$B$14=1,EF4*管理者用人口入力シート!AS$4,IF(管理者入力シート!$B$14=2,EF4*管理者用人口入力シート!AS$8))+DX1</f>
        <v>155.53347495180066</v>
      </c>
      <c r="EH7" s="10">
        <f>IF(管理者入力シート!$B$14=1,EG4*管理者用人口入力シート!AT$4,IF(管理者入力シート!$B$14=2,EG4*管理者用人口入力シート!AT$8))</f>
        <v>114.07651323234086</v>
      </c>
      <c r="EI7" s="10">
        <f>IF(管理者入力シート!$B$14=1,EH4*管理者用人口入力シート!AU$4,IF(管理者入力シート!$B$14=2,EH4*管理者用人口入力シート!AU$8))</f>
        <v>108.45744498840091</v>
      </c>
      <c r="EJ7" s="10">
        <f>IF(管理者入力シート!$B$14=1,EI4*管理者用人口入力シート!AV$4,IF(管理者入力シート!$B$14=2,EI4*管理者用人口入力シート!AV$8))</f>
        <v>129.32541306318373</v>
      </c>
      <c r="EK7" s="10">
        <f>IF(管理者入力シート!$B$14=1,EJ4*管理者用人口入力シート!AW$4,IF(管理者入力シート!$B$14=2,EJ4*管理者用人口入力シート!AW$8))</f>
        <v>137.67109474183016</v>
      </c>
      <c r="EL7" s="10">
        <f>IF(管理者入力シート!$B$14=1,EK4*管理者用人口入力シート!AX$4,IF(管理者入力シート!$B$14=2,EK4*管理者用人口入力シート!AX$8))</f>
        <v>136.81969256552838</v>
      </c>
      <c r="EM7" s="10">
        <f>IF(管理者入力シート!$B$14=1,EL4*管理者用人口入力シート!AY$4,IF(管理者入力シート!$B$14=2,EL4*管理者用人口入力シート!AY$8))</f>
        <v>115.70057006546729</v>
      </c>
      <c r="EN7" s="10">
        <f>IF(管理者入力シート!$B$14=1,EM4*管理者用人口入力シート!AZ$4,IF(管理者入力シート!$B$14=2,EM4*管理者用人口入力シート!AZ$8))</f>
        <v>147.95521852218977</v>
      </c>
      <c r="EO7" s="10">
        <f>IF(管理者入力シート!$B$14=1,EN4*管理者用人口入力シート!BA$4,IF(管理者入力シート!$B$14=2,EN4*管理者用人口入力シート!BA$8))</f>
        <v>190.03153233740022</v>
      </c>
      <c r="EP7" s="10">
        <f>IF(管理者入力シート!$B$14=1,EO4*管理者用人口入力シート!BB$4,IF(管理者入力シート!$B$14=2,EO4*管理者用人口入力シート!BB$8))</f>
        <v>199.2920641748523</v>
      </c>
      <c r="EQ7" s="10">
        <f>IF(管理者入力シート!$B$14=1,EP4*管理者用人口入力シート!BC$4,IF(管理者入力シート!$B$14=2,EP4*管理者用人口入力シート!BC$8))</f>
        <v>118.46254667966544</v>
      </c>
      <c r="ER7" s="10">
        <f>IF(管理者入力シート!$B$14=1,EQ4*管理者用人口入力シート!BD$4,IF(管理者入力シート!$B$14=2,EQ4*管理者用人口入力シート!BD$8))</f>
        <v>73.824633744102016</v>
      </c>
      <c r="ES7" s="10">
        <f>IF(管理者入力シート!$B$14=1,ER4*管理者用人口入力シート!BE$4,IF(管理者入力シート!$B$14=2,ER4*管理者用人口入力シート!BE$8))</f>
        <v>41.575922408361706</v>
      </c>
      <c r="ET7" s="10">
        <f>IF(管理者入力シート!$B$14=1,ES4*管理者用人口入力シート!BF$4,IF(管理者入力シート!$B$14=2,ES4*管理者用人口入力シート!BF$8))</f>
        <v>6.8067283479024656</v>
      </c>
      <c r="EU7" s="10">
        <f t="shared" si="71"/>
        <v>2278.9463831204857</v>
      </c>
      <c r="EV7" s="10">
        <f t="shared" si="41"/>
        <v>92.030334628042453</v>
      </c>
      <c r="EW7" s="10">
        <f t="shared" si="42"/>
        <v>48.945659339651563</v>
      </c>
      <c r="EX7" s="10">
        <f t="shared" si="10"/>
        <v>893.64921627994124</v>
      </c>
      <c r="EY7" s="10">
        <f t="shared" si="43"/>
        <v>629.99342769228406</v>
      </c>
      <c r="EZ7" s="14">
        <f t="shared" si="44"/>
        <v>0.39213262009977479</v>
      </c>
      <c r="FA7" s="14">
        <f t="shared" si="45"/>
        <v>0.2764406536101367</v>
      </c>
      <c r="FB7" s="10">
        <f t="shared" si="72"/>
        <v>424.83397398449063</v>
      </c>
    </row>
    <row r="8" spans="1:158" x14ac:dyDescent="0.15">
      <c r="A8" s="7" t="str">
        <f t="shared" si="11"/>
        <v>2010_3</v>
      </c>
      <c r="B8" s="30">
        <v>2010</v>
      </c>
      <c r="C8" s="5" t="s">
        <v>23</v>
      </c>
      <c r="D8" s="11">
        <v>176</v>
      </c>
      <c r="E8" s="11">
        <v>218</v>
      </c>
      <c r="F8" s="11">
        <v>254</v>
      </c>
      <c r="G8" s="11">
        <v>232</v>
      </c>
      <c r="H8" s="11">
        <v>159</v>
      </c>
      <c r="I8" s="11">
        <v>196</v>
      </c>
      <c r="J8" s="11">
        <v>205</v>
      </c>
      <c r="K8" s="11">
        <v>274</v>
      </c>
      <c r="L8" s="11">
        <v>230</v>
      </c>
      <c r="M8" s="11">
        <v>245</v>
      </c>
      <c r="N8" s="11">
        <v>338</v>
      </c>
      <c r="O8" s="11">
        <v>393</v>
      </c>
      <c r="P8" s="11">
        <v>429</v>
      </c>
      <c r="Q8" s="11">
        <v>357</v>
      </c>
      <c r="R8" s="11">
        <v>337</v>
      </c>
      <c r="S8" s="11">
        <v>324</v>
      </c>
      <c r="T8" s="11">
        <v>274</v>
      </c>
      <c r="U8" s="11">
        <v>155</v>
      </c>
      <c r="V8" s="11">
        <v>106</v>
      </c>
      <c r="W8" s="11">
        <v>26</v>
      </c>
      <c r="X8" s="11">
        <v>5</v>
      </c>
      <c r="Y8" s="11">
        <f t="shared" si="68"/>
        <v>4933</v>
      </c>
      <c r="Z8" s="11">
        <f t="shared" si="12"/>
        <v>283.20000000000005</v>
      </c>
      <c r="AA8" s="11">
        <f t="shared" si="13"/>
        <v>148</v>
      </c>
      <c r="AB8" s="11">
        <f t="shared" si="0"/>
        <v>1584</v>
      </c>
      <c r="AC8" s="11">
        <f t="shared" si="14"/>
        <v>890</v>
      </c>
      <c r="AD8" s="15">
        <f t="shared" si="15"/>
        <v>0.32110277721467667</v>
      </c>
      <c r="AE8" s="15">
        <f t="shared" si="16"/>
        <v>0.18041759578349889</v>
      </c>
      <c r="AF8" s="11">
        <f t="shared" si="17"/>
        <v>834</v>
      </c>
      <c r="AH8" s="7"/>
      <c r="AI8" s="30" t="s">
        <v>88</v>
      </c>
      <c r="AJ8" s="5">
        <f>AJ7</f>
        <v>2010</v>
      </c>
      <c r="AK8" s="5">
        <f>AK7</f>
        <v>2020</v>
      </c>
      <c r="AL8" s="33" t="s">
        <v>22</v>
      </c>
      <c r="AM8" s="47">
        <f t="shared" si="73"/>
        <v>1.0895797466302943</v>
      </c>
      <c r="AN8" s="47">
        <f t="shared" si="73"/>
        <v>0.98951964867296316</v>
      </c>
      <c r="AO8" s="47">
        <f t="shared" si="73"/>
        <v>0.87367977552539933</v>
      </c>
      <c r="AP8" s="47">
        <f t="shared" si="73"/>
        <v>0.6163360527099887</v>
      </c>
      <c r="AQ8" s="47">
        <f t="shared" si="73"/>
        <v>1.0513149660756937</v>
      </c>
      <c r="AR8" s="47">
        <f t="shared" si="73"/>
        <v>1.0612419930916956</v>
      </c>
      <c r="AS8" s="47">
        <f t="shared" si="73"/>
        <v>1.1066702766061784</v>
      </c>
      <c r="AT8" s="47">
        <f t="shared" si="73"/>
        <v>0.96882765070307819</v>
      </c>
      <c r="AU8" s="47">
        <f t="shared" si="73"/>
        <v>1.1083871194373793</v>
      </c>
      <c r="AV8" s="47">
        <f t="shared" si="73"/>
        <v>1.0145993123917847</v>
      </c>
      <c r="AW8" s="47">
        <f t="shared" si="73"/>
        <v>0.96234122271199496</v>
      </c>
      <c r="AX8" s="47">
        <f t="shared" si="73"/>
        <v>1.0155270243657428</v>
      </c>
      <c r="AY8" s="47">
        <f t="shared" si="73"/>
        <v>0.99939957965166426</v>
      </c>
      <c r="AZ8" s="47">
        <f t="shared" si="73"/>
        <v>0.96760854389943673</v>
      </c>
      <c r="BA8" s="47">
        <f t="shared" si="73"/>
        <v>0.9441970536511225</v>
      </c>
      <c r="BB8" s="47">
        <f t="shared" si="73"/>
        <v>0.88685048416752821</v>
      </c>
      <c r="BC8" s="47">
        <f t="shared" si="73"/>
        <v>0.81948885751750877</v>
      </c>
      <c r="BD8" s="47">
        <f t="shared" si="73"/>
        <v>0.59267234135032887</v>
      </c>
      <c r="BE8" s="47">
        <f t="shared" si="73"/>
        <v>0.44681483162619029</v>
      </c>
      <c r="BF8" s="47">
        <f t="shared" si="73"/>
        <v>0.20044593143431827</v>
      </c>
      <c r="BH8" s="7" t="str">
        <f t="shared" si="19"/>
        <v>2030_3</v>
      </c>
      <c r="BI8" s="30">
        <f>BI7</f>
        <v>2030</v>
      </c>
      <c r="BJ8" s="5" t="s">
        <v>23</v>
      </c>
      <c r="BK8" s="16">
        <f>BK6+BK7</f>
        <v>149.6936506937603</v>
      </c>
      <c r="BL8" s="16">
        <f t="shared" ref="BL8" si="74">BL6+BL7</f>
        <v>178.90545578886616</v>
      </c>
      <c r="BM8" s="16">
        <f t="shared" ref="BM8" si="75">BM6+BM7</f>
        <v>195.2061000623014</v>
      </c>
      <c r="BN8" s="16">
        <f t="shared" ref="BN8" si="76">BN6+BN7</f>
        <v>158.90631117280287</v>
      </c>
      <c r="BO8" s="16">
        <f t="shared" ref="BO8" si="77">BO6+BO7</f>
        <v>99.43541203090588</v>
      </c>
      <c r="BP8" s="16">
        <f t="shared" ref="BP8" si="78">BP6+BP7</f>
        <v>120.31195288261688</v>
      </c>
      <c r="BQ8" s="16">
        <f t="shared" ref="BQ8" si="79">BQ6+BQ7</f>
        <v>157.55247034976247</v>
      </c>
      <c r="BR8" s="16">
        <f t="shared" ref="BR8" si="80">BR6+BR7</f>
        <v>183.10313795250391</v>
      </c>
      <c r="BS8" s="16">
        <f t="shared" ref="BS8" si="81">BS6+BS7</f>
        <v>189.59144054727059</v>
      </c>
      <c r="BT8" s="16">
        <f t="shared" ref="BT8" si="82">BT6+BT7</f>
        <v>227.67515259041645</v>
      </c>
      <c r="BU8" s="16">
        <f t="shared" ref="BU8" si="83">BU6+BU7</f>
        <v>257.38907337009005</v>
      </c>
      <c r="BV8" s="16">
        <f t="shared" ref="BV8" si="84">BV6+BV7</f>
        <v>266.19943824299548</v>
      </c>
      <c r="BW8" s="16">
        <f t="shared" ref="BW8" si="85">BW6+BW7</f>
        <v>246.34543225479791</v>
      </c>
      <c r="BX8" s="16">
        <f t="shared" ref="BX8" si="86">BX6+BX7</f>
        <v>230.34133665673852</v>
      </c>
      <c r="BY8" s="16">
        <f t="shared" ref="BY8" si="87">BY6+BY7</f>
        <v>289.2235042076594</v>
      </c>
      <c r="BZ8" s="16">
        <f t="shared" ref="BZ8" si="88">BZ6+BZ7</f>
        <v>334.46847486039451</v>
      </c>
      <c r="CA8" s="16">
        <f t="shared" ref="CA8" si="89">CA6+CA7</f>
        <v>327.79946677589407</v>
      </c>
      <c r="CB8" s="16">
        <f t="shared" ref="CB8" si="90">CB6+CB7</f>
        <v>193.36591146505472</v>
      </c>
      <c r="CC8" s="16">
        <f t="shared" ref="CC8" si="91">CC6+CC7</f>
        <v>101.61798069528336</v>
      </c>
      <c r="CD8" s="16">
        <f t="shared" ref="CD8" si="92">CD6+CD7</f>
        <v>53.472305223225327</v>
      </c>
      <c r="CE8" s="16">
        <f t="shared" ref="CE8" si="93">CE6+CE7</f>
        <v>9.8956827295673246</v>
      </c>
      <c r="CF8" s="11">
        <f t="shared" si="2"/>
        <v>3970.4996905529069</v>
      </c>
      <c r="CG8" s="11">
        <f t="shared" si="20"/>
        <v>224.46693351070053</v>
      </c>
      <c r="CH8" s="11">
        <f t="shared" si="21"/>
        <v>109.86370225948113</v>
      </c>
      <c r="CI8" s="11">
        <f t="shared" si="3"/>
        <v>1540.1846626138172</v>
      </c>
      <c r="CJ8" s="11">
        <f t="shared" si="22"/>
        <v>1020.6198217494193</v>
      </c>
      <c r="CK8" s="15">
        <f t="shared" si="23"/>
        <v>0.38790700986034848</v>
      </c>
      <c r="CL8" s="15">
        <f t="shared" si="24"/>
        <v>0.25705072441582139</v>
      </c>
      <c r="CM8" s="11">
        <f t="shared" si="25"/>
        <v>560.40297321578919</v>
      </c>
      <c r="CO8" s="7" t="str">
        <f t="shared" si="26"/>
        <v>2030_3</v>
      </c>
      <c r="CP8" s="30">
        <f>CP7</f>
        <v>2030</v>
      </c>
      <c r="CQ8" s="5" t="s">
        <v>23</v>
      </c>
      <c r="CR8" s="16">
        <f>CR6+CR7</f>
        <v>153.85666834727056</v>
      </c>
      <c r="CS8" s="16">
        <f t="shared" ref="CS8" si="94">CS6+CS7</f>
        <v>181.09203039735459</v>
      </c>
      <c r="CT8" s="16">
        <f t="shared" ref="CT8" si="95">CT6+CT7</f>
        <v>197.2061000623014</v>
      </c>
      <c r="CU8" s="16">
        <f t="shared" ref="CU8" si="96">CU6+CU7</f>
        <v>160.5632081316669</v>
      </c>
      <c r="CV8" s="16">
        <f t="shared" ref="CV8" si="97">CV6+CV7</f>
        <v>99.43541203090588</v>
      </c>
      <c r="CW8" s="16">
        <f t="shared" ref="CW8" si="98">CW6+CW7</f>
        <v>124.31195288261688</v>
      </c>
      <c r="CX8" s="16">
        <f t="shared" ref="CX8" si="99">CX6+CX7</f>
        <v>161.85102687938604</v>
      </c>
      <c r="CY8" s="16">
        <f t="shared" ref="CY8" si="100">CY6+CY7</f>
        <v>183.10313795250391</v>
      </c>
      <c r="CZ8" s="16">
        <f t="shared" ref="CZ8" si="101">CZ6+CZ7</f>
        <v>190.59144054727059</v>
      </c>
      <c r="DA8" s="16">
        <f t="shared" ref="DA8" si="102">DA6+DA7</f>
        <v>228.78353970985381</v>
      </c>
      <c r="DB8" s="16">
        <f t="shared" ref="DB8" si="103">DB6+DB7</f>
        <v>257.38907337009005</v>
      </c>
      <c r="DC8" s="16">
        <f t="shared" ref="DC8" si="104">DC6+DC7</f>
        <v>266.19943824299548</v>
      </c>
      <c r="DD8" s="16">
        <f t="shared" ref="DD8" si="105">DD6+DD7</f>
        <v>246.34543225479791</v>
      </c>
      <c r="DE8" s="16">
        <f t="shared" ref="DE8" si="106">DE6+DE7</f>
        <v>230.34133665673852</v>
      </c>
      <c r="DF8" s="16">
        <f t="shared" ref="DF8" si="107">DF6+DF7</f>
        <v>289.2235042076594</v>
      </c>
      <c r="DG8" s="16">
        <f t="shared" ref="DG8" si="108">DG6+DG7</f>
        <v>334.46847486039451</v>
      </c>
      <c r="DH8" s="16">
        <f t="shared" ref="DH8" si="109">DH6+DH7</f>
        <v>327.79946677589407</v>
      </c>
      <c r="DI8" s="16">
        <f t="shared" ref="DI8" si="110">DI6+DI7</f>
        <v>193.36591146505472</v>
      </c>
      <c r="DJ8" s="16">
        <f t="shared" ref="DJ8" si="111">DJ6+DJ7</f>
        <v>101.61798069528336</v>
      </c>
      <c r="DK8" s="16">
        <f t="shared" ref="DK8" si="112">DK6+DK7</f>
        <v>53.472305223225327</v>
      </c>
      <c r="DL8" s="16">
        <f t="shared" ref="DL8" si="113">DL6+DL7</f>
        <v>9.8956827295673246</v>
      </c>
      <c r="DM8" s="11">
        <f t="shared" si="69"/>
        <v>3990.9131234228307</v>
      </c>
      <c r="DN8" s="11">
        <f t="shared" si="34"/>
        <v>226.97887827579359</v>
      </c>
      <c r="DO8" s="11">
        <f t="shared" si="35"/>
        <v>110.99508165125394</v>
      </c>
      <c r="DP8" s="11">
        <f t="shared" si="6"/>
        <v>1540.1846626138172</v>
      </c>
      <c r="DQ8" s="11">
        <f t="shared" si="36"/>
        <v>1020.6198217494193</v>
      </c>
      <c r="DR8" s="15">
        <f t="shared" si="37"/>
        <v>0.38592287403461906</v>
      </c>
      <c r="DS8" s="15">
        <f t="shared" si="38"/>
        <v>0.2557359156127354</v>
      </c>
      <c r="DT8" s="11">
        <f t="shared" si="70"/>
        <v>568.7015297454127</v>
      </c>
      <c r="DV8" s="7" t="s">
        <v>402</v>
      </c>
      <c r="DW8" s="209">
        <f>(SUM(BK13:BW13)-SUM(D13:P13))/4</f>
        <v>-92.775829077977249</v>
      </c>
      <c r="DX8" s="30">
        <f>DX7</f>
        <v>2030</v>
      </c>
      <c r="DY8" s="5" t="s">
        <v>23</v>
      </c>
      <c r="DZ8" s="16">
        <f>DZ6+DZ7</f>
        <v>222.9052650341809</v>
      </c>
      <c r="EA8" s="16">
        <f t="shared" ref="EA8:ET8" si="114">EA6+EA7</f>
        <v>178.90545578886616</v>
      </c>
      <c r="EB8" s="16">
        <f t="shared" si="114"/>
        <v>195.2061000623014</v>
      </c>
      <c r="EC8" s="16">
        <f t="shared" si="114"/>
        <v>158.90631117280287</v>
      </c>
      <c r="ED8" s="16">
        <f t="shared" si="114"/>
        <v>99.43541203090588</v>
      </c>
      <c r="EE8" s="16">
        <f t="shared" si="114"/>
        <v>174.31195288261688</v>
      </c>
      <c r="EF8" s="16">
        <f t="shared" si="114"/>
        <v>269.58298349968078</v>
      </c>
      <c r="EG8" s="16">
        <f t="shared" si="114"/>
        <v>294.5274829771534</v>
      </c>
      <c r="EH8" s="16">
        <f t="shared" si="114"/>
        <v>243.46260841030505</v>
      </c>
      <c r="EI8" s="16">
        <f t="shared" si="114"/>
        <v>227.67515259041645</v>
      </c>
      <c r="EJ8" s="16">
        <f t="shared" si="114"/>
        <v>257.38907337009005</v>
      </c>
      <c r="EK8" s="16">
        <f t="shared" si="114"/>
        <v>266.19943824299548</v>
      </c>
      <c r="EL8" s="16">
        <f t="shared" si="114"/>
        <v>246.34543225479791</v>
      </c>
      <c r="EM8" s="16">
        <f t="shared" si="114"/>
        <v>230.34133665673852</v>
      </c>
      <c r="EN8" s="16">
        <f t="shared" si="114"/>
        <v>289.2235042076594</v>
      </c>
      <c r="EO8" s="16">
        <f t="shared" si="114"/>
        <v>334.46847486039451</v>
      </c>
      <c r="EP8" s="16">
        <f t="shared" si="114"/>
        <v>327.79946677589407</v>
      </c>
      <c r="EQ8" s="16">
        <f t="shared" si="114"/>
        <v>193.36591146505472</v>
      </c>
      <c r="ER8" s="16">
        <f t="shared" si="114"/>
        <v>101.61798069528336</v>
      </c>
      <c r="ES8" s="16">
        <f t="shared" si="114"/>
        <v>53.472305223225327</v>
      </c>
      <c r="ET8" s="16">
        <f t="shared" si="114"/>
        <v>9.8956827295673246</v>
      </c>
      <c r="EU8" s="11">
        <f t="shared" si="71"/>
        <v>4375.0373309309298</v>
      </c>
      <c r="EV8" s="11">
        <f t="shared" si="41"/>
        <v>224.46693351070053</v>
      </c>
      <c r="EW8" s="11">
        <f t="shared" si="42"/>
        <v>109.86370225948113</v>
      </c>
      <c r="EX8" s="11">
        <f t="shared" si="10"/>
        <v>1540.1846626138172</v>
      </c>
      <c r="EY8" s="11">
        <f t="shared" si="43"/>
        <v>1020.6198217494193</v>
      </c>
      <c r="EZ8" s="15">
        <f t="shared" si="44"/>
        <v>0.3520392047228757</v>
      </c>
      <c r="FA8" s="15">
        <f t="shared" si="45"/>
        <v>0.23328254013600602</v>
      </c>
      <c r="FB8" s="11">
        <f t="shared" si="72"/>
        <v>837.85783139035698</v>
      </c>
    </row>
    <row r="9" spans="1:158" x14ac:dyDescent="0.15">
      <c r="A9" s="7" t="str">
        <f t="shared" si="11"/>
        <v>2015_1</v>
      </c>
      <c r="B9" s="28">
        <v>2015</v>
      </c>
      <c r="C9" s="3" t="s">
        <v>21</v>
      </c>
      <c r="D9" s="9">
        <v>78.031746031746025</v>
      </c>
      <c r="E9" s="9">
        <v>97.031746031746025</v>
      </c>
      <c r="F9" s="9">
        <v>112.11111111111111</v>
      </c>
      <c r="G9" s="9">
        <v>109.03174603174602</v>
      </c>
      <c r="H9" s="9">
        <v>77.047619047619051</v>
      </c>
      <c r="I9" s="9">
        <v>82.047619047619051</v>
      </c>
      <c r="J9" s="9">
        <v>106.03174603174602</v>
      </c>
      <c r="K9" s="9">
        <v>106.07936507936508</v>
      </c>
      <c r="L9" s="9">
        <v>122.01587301587301</v>
      </c>
      <c r="M9" s="9">
        <v>115.06349206349206</v>
      </c>
      <c r="N9" s="9">
        <v>122.04761904761905</v>
      </c>
      <c r="O9" s="9">
        <v>166.03174603174602</v>
      </c>
      <c r="P9" s="9">
        <v>187.03174603174602</v>
      </c>
      <c r="Q9" s="9">
        <v>197.11111111111111</v>
      </c>
      <c r="R9" s="9">
        <v>164.04761904761904</v>
      </c>
      <c r="S9" s="9">
        <v>128.04761904761904</v>
      </c>
      <c r="T9" s="9">
        <v>104.0952380952381</v>
      </c>
      <c r="U9" s="9">
        <v>58.031746031746032</v>
      </c>
      <c r="V9" s="9">
        <v>12.015873015873016</v>
      </c>
      <c r="W9" s="9">
        <v>6.0317460317460316</v>
      </c>
      <c r="X9" s="9">
        <v>1.0158730158730158</v>
      </c>
      <c r="Y9" s="9">
        <f t="shared" si="68"/>
        <v>2150.0000000000005</v>
      </c>
      <c r="Z9" s="9">
        <f t="shared" si="12"/>
        <v>125.48571428571429</v>
      </c>
      <c r="AA9" s="9">
        <f t="shared" si="13"/>
        <v>66.650793650793645</v>
      </c>
      <c r="AB9" s="9">
        <f t="shared" si="0"/>
        <v>670.39682539682531</v>
      </c>
      <c r="AC9" s="9">
        <f t="shared" si="14"/>
        <v>309.23809523809524</v>
      </c>
      <c r="AD9" s="13">
        <f t="shared" si="15"/>
        <v>0.31181247692875591</v>
      </c>
      <c r="AE9" s="13">
        <f t="shared" si="16"/>
        <v>0.14383167220376519</v>
      </c>
      <c r="AF9" s="9">
        <f t="shared" si="17"/>
        <v>371.20634920634916</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77.640253455581956</v>
      </c>
      <c r="BL9" s="9">
        <f>IF(管理者入力シート!$B$14=1,BK6*管理者用人口入力シート!AM$3,IF(管理者入力シート!$B$14=2,BK6*管理者用人口入力シート!AM$7))</f>
        <v>95.396811048556046</v>
      </c>
      <c r="BM9" s="9">
        <f>IF(管理者入力シート!$B$14=1,BL6*管理者用人口入力シート!AN$3,IF(管理者入力シート!$B$14=2,BL6*管理者用人口入力シート!AN$7))</f>
        <v>109.3803022668117</v>
      </c>
      <c r="BN9" s="9">
        <f>IF(管理者入力シート!$B$14=1,BM6*管理者用人口入力シート!AO$3,IF(管理者入力シート!$B$14=2,BM6*管理者用人口入力シート!AO$7))</f>
        <v>91.245098378680254</v>
      </c>
      <c r="BO9" s="9">
        <f>IF(管理者入力シート!$B$14=1,BN6*管理者用人口入力シート!AP$3,IF(管理者入力シート!$B$14=2,BN6*管理者用人口入力シート!AP$7))</f>
        <v>48.457682942444883</v>
      </c>
      <c r="BP9" s="9">
        <f>IF(管理者入力シート!$B$14=1,BO6*管理者用人口入力シート!AQ$3,IF(管理者入力シート!$B$14=2,BO6*管理者用人口入力シート!AQ$7))</f>
        <v>51.424710608811978</v>
      </c>
      <c r="BQ9" s="9">
        <f>IF(管理者入力シート!$B$14=1,BP6*管理者用人口入力シート!AR$3,IF(管理者入力シート!$B$14=2,BP6*管理者用人口入力シート!AR$7))</f>
        <v>58.287986792128393</v>
      </c>
      <c r="BR9" s="9">
        <f>IF(管理者入力シート!$B$14=1,BQ6*管理者用人口入力シート!AS$3,IF(管理者入力シート!$B$14=2,BQ6*管理者用人口入力シート!AS$7))</f>
        <v>86.746013912173012</v>
      </c>
      <c r="BS9" s="9">
        <f>IF(管理者入力シート!$B$14=1,BR6*管理者用人口入力シート!AT$3,IF(管理者入力シート!$B$14=2,BR6*管理者用人口入力シート!AT$7))</f>
        <v>86.679300748325247</v>
      </c>
      <c r="BT9" s="9">
        <f>IF(管理者入力シート!$B$14=1,BS6*管理者用人口入力シート!AU$3,IF(管理者入力シート!$B$14=2,BS6*管理者用人口入力シート!AU$7))</f>
        <v>109.15860059272367</v>
      </c>
      <c r="BU9" s="9">
        <f>IF(管理者入力シート!$B$14=1,BT6*管理者用人口入力シート!AV$3,IF(管理者入力シート!$B$14=2,BT6*管理者用人口入力シート!AV$7))</f>
        <v>120.35864269839752</v>
      </c>
      <c r="BV9" s="9">
        <f>IF(管理者入力シート!$B$14=1,BU6*管理者用人口入力シート!AW$3,IF(管理者入力シート!$B$14=2,BU6*管理者用人口入力シート!AW$7))</f>
        <v>122.37162417052588</v>
      </c>
      <c r="BW9" s="9">
        <f>IF(管理者入力シート!$B$14=1,BV6*管理者用人口入力シート!AX$3,IF(管理者入力シート!$B$14=2,BV6*管理者用人口入力シート!AX$7))</f>
        <v>122.65041163481125</v>
      </c>
      <c r="BX9" s="9">
        <f>IF(管理者入力シート!$B$14=1,BW6*管理者用人口入力シート!AY$3,IF(管理者入力シート!$B$14=2,BW6*管理者用人口入力シート!AY$7))</f>
        <v>109.51770694165839</v>
      </c>
      <c r="BY9" s="9">
        <f>IF(管理者入力シート!$B$14=1,BX6*管理者用人口入力シート!AZ$3,IF(管理者入力シート!$B$14=2,BX6*管理者用人口入力シート!AZ$7))</f>
        <v>104.35142260848194</v>
      </c>
      <c r="BZ9" s="9">
        <f>IF(管理者入力シート!$B$14=1,BY6*管理者用人口入力シート!BA$3,IF(管理者入力シート!$B$14=2,BY6*管理者用人口入力シート!BA$7))</f>
        <v>123.70572109582041</v>
      </c>
      <c r="CA9" s="9">
        <f>IF(管理者入力シート!$B$14=1,BZ6*管理者用人口入力シート!BB$3,IF(管理者入力シート!$B$14=2,BZ6*管理者用人口入力シート!BB$7))</f>
        <v>119.61387499048801</v>
      </c>
      <c r="CB9" s="9">
        <f>IF(管理者入力シート!$B$14=1,CA6*管理者用人口入力シート!BC$3,IF(管理者入力シート!$B$14=2,CA6*管理者用人口入力シート!BC$7))</f>
        <v>77.838412019683773</v>
      </c>
      <c r="CC9" s="9">
        <f>IF(管理者入力シート!$B$14=1,CB6*管理者用人口入力シート!BD$3,IF(管理者入力シート!$B$14=2,CB6*管理者用人口入力シート!BD$7))</f>
        <v>30.632152987311368</v>
      </c>
      <c r="CD9" s="9">
        <f>IF(管理者入力シート!$B$14=1,CC6*管理者用人口入力シート!BE$3,IF(管理者入力シート!$B$14=2,CC6*管理者用人口入力シート!BE$7))</f>
        <v>11.375197894397743</v>
      </c>
      <c r="CE9" s="9">
        <f>IF(管理者入力シート!$B$14=1,CD6*管理者用人口入力シート!BF$3,IF(管理者入力シート!$B$14=2,CD6*管理者用人口入力シート!BF$7))</f>
        <v>3.0877570024684124</v>
      </c>
      <c r="CF9" s="9">
        <f t="shared" si="2"/>
        <v>1759.919684790282</v>
      </c>
      <c r="CG9" s="9">
        <f t="shared" si="20"/>
        <v>122.86626798922066</v>
      </c>
      <c r="CH9" s="9">
        <f t="shared" si="21"/>
        <v>62.001140582460728</v>
      </c>
      <c r="CI9" s="9">
        <f t="shared" si="3"/>
        <v>580.1222455403099</v>
      </c>
      <c r="CJ9" s="9">
        <f t="shared" si="22"/>
        <v>366.2531159901697</v>
      </c>
      <c r="CK9" s="13">
        <f t="shared" si="23"/>
        <v>0.32962995445410864</v>
      </c>
      <c r="CL9" s="13">
        <f t="shared" si="24"/>
        <v>0.20810785807752</v>
      </c>
      <c r="CM9" s="9">
        <f t="shared" si="25"/>
        <v>244.91639425555826</v>
      </c>
      <c r="CO9" s="7" t="str">
        <f t="shared" si="26"/>
        <v>2035_1</v>
      </c>
      <c r="CP9" s="28">
        <f>管理者入力シート!B10</f>
        <v>2035</v>
      </c>
      <c r="CQ9" s="3" t="s">
        <v>21</v>
      </c>
      <c r="CR9" s="9">
        <f>DT10*$AK$13+将来予測シート②!$G17</f>
        <v>80.77691611300709</v>
      </c>
      <c r="CS9" s="9">
        <f>IF(管理者入力シート!$B$14=1,CR6*管理者用人口入力シート!AM$3,IF(管理者入力シート!$B$14=2,CR6*管理者用人口入力シート!AM$7))+将来予測シート②!$G18</f>
        <v>97.872254397910481</v>
      </c>
      <c r="CT9" s="9">
        <f>IF(管理者入力シート!$B$14=1,CS6*管理者用人口入力シート!AN$3,IF(管理者入力シート!$B$14=2,CS6*管理者用人口入力シート!AN$7))+将来予測シート②!$G19</f>
        <v>111.53153275486824</v>
      </c>
      <c r="CU9" s="9">
        <f>IF(管理者入力シート!$B$14=1,CT6*管理者用人口入力シート!AO$3,IF(管理者入力シート!$B$14=2,CT6*管理者用人口入力シート!AO$7))+将来予測シート②!$G20</f>
        <v>92.028315562018847</v>
      </c>
      <c r="CV9" s="9">
        <f>IF(管理者入力シート!$B$14=1,CU6*管理者用人口入力シート!AP$3,IF(管理者入力シート!$B$14=2,CU6*管理者用人口入力シート!AP$7))+将来予測シート②!$G21</f>
        <v>48.987829298006311</v>
      </c>
      <c r="CW9" s="9">
        <f>IF(管理者入力シート!$B$14=1,CV6*管理者用人口入力シート!AQ$3,IF(管理者入力シート!$B$14=2,CV6*管理者用人口入力シート!AQ$7))+将来予測シート②!$G22</f>
        <v>53.424710608811978</v>
      </c>
      <c r="CX9" s="9">
        <f>IF(管理者入力シート!$B$14=1,CW6*管理者用人口入力シート!AR$3,IF(管理者入力シート!$B$14=2,CW6*管理者用人口入力シート!AR$7))+将来予測シート②!$G23</f>
        <v>60.464059335568585</v>
      </c>
      <c r="CY9" s="9">
        <f>IF(管理者入力シート!$B$14=1,CX6*管理者用人口入力シート!AS$3,IF(管理者入力シート!$B$14=2,CX6*管理者用人口入力シート!AS$7))+将来予測シート②!$G24</f>
        <v>88.965950239467318</v>
      </c>
      <c r="CZ9" s="9">
        <f>IF(管理者入力シート!$B$14=1,CY6*管理者用人口入力シート!AT$3,IF(管理者入力シート!$B$14=2,CY6*管理者用人口入力シート!AT$7))+将来予測シート②!$G25</f>
        <v>86.679300748325247</v>
      </c>
      <c r="DA9" s="9">
        <f>IF(管理者入力シート!$B$14=1,CZ6*管理者用人口入力シート!AU$3,IF(管理者入力シート!$B$14=2,CZ6*管理者用人口入力シート!AU$7))+将来予測シート②!$G26</f>
        <v>109.15860059272367</v>
      </c>
      <c r="DB9" s="9">
        <f>IF(管理者入力シート!$B$14=1,DA6*管理者用人口入力シート!AV$3,IF(管理者入力シート!$B$14=2,DA6*管理者用人口入力シート!AV$7))+将来予測シート②!$G27</f>
        <v>120.35864269839752</v>
      </c>
      <c r="DC9" s="9">
        <f>IF(管理者入力シート!$B$14=1,DB6*管理者用人口入力シート!AW$3,IF(管理者入力シート!$B$14=2,DB6*管理者用人口入力シート!AW$7))+将来予測シート②!$G28</f>
        <v>122.37162417052588</v>
      </c>
      <c r="DD9" s="9">
        <f>IF(管理者入力シート!$B$14=1,DC6*管理者用人口入力シート!AX$3,IF(管理者入力シート!$B$14=2,DC6*管理者用人口入力シート!AX$7))+将来予測シート②!$G29</f>
        <v>122.65041163481125</v>
      </c>
      <c r="DE9" s="9">
        <f>IF(管理者入力シート!$B$14=1,DD6*管理者用人口入力シート!AY$3,IF(管理者入力シート!$B$14=2,DD6*管理者用人口入力シート!AY$7))</f>
        <v>109.51770694165839</v>
      </c>
      <c r="DF9" s="9">
        <f>IF(管理者入力シート!$B$14=1,DE6*管理者用人口入力シート!AZ$3,IF(管理者入力シート!$B$14=2,DE6*管理者用人口入力シート!AZ$7))</f>
        <v>104.35142260848194</v>
      </c>
      <c r="DG9" s="9">
        <f>IF(管理者入力シート!$B$14=1,DF6*管理者用人口入力シート!BA$3,IF(管理者入力シート!$B$14=2,DF6*管理者用人口入力シート!BA$7))</f>
        <v>123.70572109582041</v>
      </c>
      <c r="DH9" s="9">
        <f>IF(管理者入力シート!$B$14=1,DG6*管理者用人口入力シート!BB$3,IF(管理者入力シート!$B$14=2,DG6*管理者用人口入力シート!BB$7))</f>
        <v>119.61387499048801</v>
      </c>
      <c r="DI9" s="9">
        <f>IF(管理者入力シート!$B$14=1,DH6*管理者用人口入力シート!BC$3,IF(管理者入力シート!$B$14=2,DH6*管理者用人口入力シート!BC$7))</f>
        <v>77.838412019683773</v>
      </c>
      <c r="DJ9" s="9">
        <f>IF(管理者入力シート!$B$14=1,DI6*管理者用人口入力シート!BD$3,IF(管理者入力シート!$B$14=2,DI6*管理者用人口入力シート!BD$7))</f>
        <v>30.632152987311368</v>
      </c>
      <c r="DK9" s="9">
        <f>IF(管理者入力シート!$B$14=1,DJ6*管理者用人口入力シート!BE$3,IF(管理者入力シート!$B$14=2,DJ6*管理者用人口入力シート!BE$7))</f>
        <v>11.375197894397743</v>
      </c>
      <c r="DL9" s="9">
        <f>IF(管理者入力シート!$B$14=1,DK6*管理者用人口入力シート!BF$3,IF(管理者入力シート!$B$14=2,DK6*管理者用人口入力シート!BF$7))</f>
        <v>3.0877570024684124</v>
      </c>
      <c r="DM9" s="9">
        <f t="shared" si="69"/>
        <v>1775.3923936947526</v>
      </c>
      <c r="DN9" s="9">
        <f t="shared" si="34"/>
        <v>125.64227229166724</v>
      </c>
      <c r="DO9" s="9">
        <f t="shared" si="35"/>
        <v>63.018276214351062</v>
      </c>
      <c r="DP9" s="9">
        <f t="shared" si="6"/>
        <v>580.1222455403099</v>
      </c>
      <c r="DQ9" s="9">
        <f t="shared" si="36"/>
        <v>366.2531159901697</v>
      </c>
      <c r="DR9" s="13">
        <f t="shared" si="37"/>
        <v>0.32675719891590999</v>
      </c>
      <c r="DS9" s="13">
        <f t="shared" si="38"/>
        <v>0.20629417884795809</v>
      </c>
      <c r="DT9" s="9">
        <f t="shared" si="70"/>
        <v>251.84254948185418</v>
      </c>
      <c r="DV9" s="7" t="s">
        <v>403</v>
      </c>
      <c r="DW9" s="209">
        <f>DW7+DW8</f>
        <v>-163.68538156472036</v>
      </c>
      <c r="DX9" s="28">
        <f>管理者入力シート!B10</f>
        <v>2035</v>
      </c>
      <c r="DY9" s="3" t="s">
        <v>21</v>
      </c>
      <c r="DZ9" s="9">
        <f>FB10*$AK$13</f>
        <v>129.8367597575832</v>
      </c>
      <c r="EA9" s="129">
        <f>IF(管理者入力シート!$B$14=1,DZ6*管理者用人口入力シート!AM$3,IF(管理者入力シート!$B$14=2,DZ6*管理者用人口入力シート!AM$7))</f>
        <v>142.05312885111186</v>
      </c>
      <c r="EB9" s="9">
        <f>IF(管理者入力シート!$B$14=1,EA6*管理者用人口入力シート!AN$3,IF(管理者入力シート!$B$14=2,EA6*管理者用人口入力シート!AN$7))</f>
        <v>109.3803022668117</v>
      </c>
      <c r="EC9" s="9">
        <f>IF(管理者入力シート!$B$14=1,EB6*管理者用人口入力シート!AO$3,IF(管理者入力シート!$B$14=2,EB6*管理者用人口入力シート!AO$7))</f>
        <v>91.245098378680254</v>
      </c>
      <c r="ED9" s="9">
        <f>IF(管理者入力シート!$B$14=1,EC6*管理者用人口入力シート!AP$3,IF(管理者入力シート!$B$14=2,EC6*管理者用人口入力シート!AP$7))</f>
        <v>48.457682942444883</v>
      </c>
      <c r="EE9" s="9">
        <f>IF(管理者入力シート!$B$14=1,ED6*管理者用人口入力シート!AQ$3,IF(管理者入力シート!$B$14=2,ED6*管理者用人口入力シート!AQ$7))+DX1</f>
        <v>78.424710608811978</v>
      </c>
      <c r="EF9" s="9">
        <f>IF(管理者入力シート!$B$14=1,EE6*管理者用人口入力シート!AR$3,IF(管理者入力シート!$B$14=2,EE6*管理者用人口入力シート!AR$7))+DX1</f>
        <v>114.66496612857092</v>
      </c>
      <c r="EG9" s="9">
        <f>IF(管理者入力シート!$B$14=1,EF6*管理者用人口入力シート!AS$3,IF(管理者入力シート!$B$14=2,EF6*管理者用人口入力シート!AS$7))+DX1</f>
        <v>171.25940188692874</v>
      </c>
      <c r="EH9" s="9">
        <f>IF(管理者入力シート!$B$14=1,EG6*管理者用人口入力シート!AT$3,IF(管理者入力シート!$B$14=2,EG6*管理者用人口入力シート!AT$7))</f>
        <v>142.6635594574274</v>
      </c>
      <c r="EI9" s="9">
        <f>IF(管理者入力シート!$B$14=1,EH6*管理者用人口入力シート!AU$3,IF(管理者入力シート!$B$14=2,EH6*管理者用人口入力シート!AU$7))</f>
        <v>138.91167802769277</v>
      </c>
      <c r="EJ9" s="9">
        <f>IF(管理者入力シート!$B$14=1,EI6*管理者用人口入力シート!AV$3,IF(管理者入力シート!$B$14=2,EI6*管理者用人口入力シート!AV$7))</f>
        <v>120.35864269839752</v>
      </c>
      <c r="EK9" s="9">
        <f>IF(管理者入力シート!$B$14=1,EJ6*管理者用人口入力シート!AW$3,IF(管理者入力シート!$B$14=2,EJ6*管理者用人口入力シート!AW$7))</f>
        <v>122.37162417052588</v>
      </c>
      <c r="EL9" s="9">
        <f>IF(管理者入力シート!$B$14=1,EK6*管理者用人口入力シート!AX$3,IF(管理者入力シート!$B$14=2,EK6*管理者用人口入力シート!AX$7))</f>
        <v>122.65041163481125</v>
      </c>
      <c r="EM9" s="9">
        <f>IF(管理者入力シート!$B$14=1,EL6*管理者用人口入力シート!AY$3,IF(管理者入力シート!$B$14=2,EL6*管理者用人口入力シート!AY$7))</f>
        <v>109.51770694165839</v>
      </c>
      <c r="EN9" s="9">
        <f>IF(管理者入力シート!$B$14=1,EM6*管理者用人口入力シート!AZ$3,IF(管理者入力シート!$B$14=2,EM6*管理者用人口入力シート!AZ$7))</f>
        <v>104.35142260848194</v>
      </c>
      <c r="EO9" s="9">
        <f>IF(管理者入力シート!$B$14=1,EN6*管理者用人口入力シート!BA$3,IF(管理者入力シート!$B$14=2,EN6*管理者用人口入力シート!BA$7))</f>
        <v>123.70572109582041</v>
      </c>
      <c r="EP9" s="9">
        <f>IF(管理者入力シート!$B$14=1,EO6*管理者用人口入力シート!BB$3,IF(管理者入力シート!$B$14=2,EO6*管理者用人口入力シート!BB$7))</f>
        <v>119.61387499048801</v>
      </c>
      <c r="EQ9" s="9">
        <f>IF(管理者入力シート!$B$14=1,EP6*管理者用人口入力シート!BC$3,IF(管理者入力シート!$B$14=2,EP6*管理者用人口入力シート!BC$7))</f>
        <v>77.838412019683773</v>
      </c>
      <c r="ER9" s="9">
        <f>IF(管理者入力シート!$B$14=1,EQ6*管理者用人口入力シート!BD$3,IF(管理者入力シート!$B$14=2,EQ6*管理者用人口入力シート!BD$7))</f>
        <v>30.632152987311368</v>
      </c>
      <c r="ES9" s="9">
        <f>IF(管理者入力シート!$B$14=1,ER6*管理者用人口入力シート!BE$3,IF(管理者入力シート!$B$14=2,ER6*管理者用人口入力シート!BE$7))</f>
        <v>11.375197894397743</v>
      </c>
      <c r="ET9" s="9">
        <f>IF(管理者入力シート!$B$14=1,ES6*管理者用人口入力シート!BF$3,IF(管理者入力シート!$B$14=2,ES6*管理者用人口入力シート!BF$7))</f>
        <v>3.0877570024684124</v>
      </c>
      <c r="EU9" s="9">
        <f t="shared" si="71"/>
        <v>2112.4002123501082</v>
      </c>
      <c r="EV9" s="9">
        <f t="shared" si="41"/>
        <v>150.86005867075414</v>
      </c>
      <c r="EW9" s="9">
        <f t="shared" si="42"/>
        <v>62.001140582460728</v>
      </c>
      <c r="EX9" s="9">
        <f t="shared" si="10"/>
        <v>580.1222455403099</v>
      </c>
      <c r="EY9" s="9">
        <f t="shared" si="43"/>
        <v>366.2531159901697</v>
      </c>
      <c r="EZ9" s="13">
        <f t="shared" si="44"/>
        <v>0.2746270532206142</v>
      </c>
      <c r="FA9" s="13">
        <f t="shared" si="45"/>
        <v>0.17338244611455619</v>
      </c>
      <c r="FB9" s="9">
        <f t="shared" si="72"/>
        <v>412.80676156675651</v>
      </c>
    </row>
    <row r="10" spans="1:158" x14ac:dyDescent="0.15">
      <c r="A10" s="7" t="str">
        <f t="shared" si="11"/>
        <v>2015_2</v>
      </c>
      <c r="B10" s="29">
        <v>2015</v>
      </c>
      <c r="C10" s="4" t="s">
        <v>22</v>
      </c>
      <c r="D10" s="10">
        <v>92</v>
      </c>
      <c r="E10" s="10">
        <v>93</v>
      </c>
      <c r="F10" s="10">
        <v>119</v>
      </c>
      <c r="G10" s="10">
        <v>112</v>
      </c>
      <c r="H10" s="10">
        <v>72</v>
      </c>
      <c r="I10" s="10">
        <v>72</v>
      </c>
      <c r="J10" s="10">
        <v>89</v>
      </c>
      <c r="K10" s="10">
        <v>109</v>
      </c>
      <c r="L10" s="10">
        <v>129</v>
      </c>
      <c r="M10" s="10">
        <v>136</v>
      </c>
      <c r="N10" s="10">
        <v>120</v>
      </c>
      <c r="O10" s="10">
        <v>155</v>
      </c>
      <c r="P10" s="10">
        <v>210</v>
      </c>
      <c r="Q10" s="10">
        <v>240</v>
      </c>
      <c r="R10" s="10">
        <v>169</v>
      </c>
      <c r="S10" s="10">
        <v>171</v>
      </c>
      <c r="T10" s="10">
        <v>169</v>
      </c>
      <c r="U10" s="10">
        <v>120</v>
      </c>
      <c r="V10" s="10">
        <v>66</v>
      </c>
      <c r="W10" s="10">
        <v>32</v>
      </c>
      <c r="X10" s="10">
        <v>9</v>
      </c>
      <c r="Y10" s="10">
        <f t="shared" si="68"/>
        <v>2484</v>
      </c>
      <c r="Z10" s="10">
        <f t="shared" si="12"/>
        <v>127.2</v>
      </c>
      <c r="AA10" s="10">
        <f t="shared" si="13"/>
        <v>70</v>
      </c>
      <c r="AB10" s="10">
        <f t="shared" si="0"/>
        <v>976</v>
      </c>
      <c r="AC10" s="10">
        <f t="shared" si="14"/>
        <v>567</v>
      </c>
      <c r="AD10" s="14">
        <f t="shared" si="15"/>
        <v>0.39291465378421903</v>
      </c>
      <c r="AE10" s="14">
        <f t="shared" si="16"/>
        <v>0.22826086956521738</v>
      </c>
      <c r="AF10" s="10">
        <f t="shared" si="17"/>
        <v>342</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56.007314662758795</v>
      </c>
      <c r="BL10" s="10">
        <f>IF(管理者入力シート!$B$14=1,BK7*管理者用人口入力シート!AM$4,IF(管理者入力シート!$B$14=2,BK7*管理者用人口入力シート!AM$8))</f>
        <v>68.351191817561968</v>
      </c>
      <c r="BM10" s="10">
        <f>IF(管理者入力シート!$B$14=1,BL7*管理者用人口入力シート!AN$4,IF(管理者入力シート!$B$14=2,BL7*管理者用人口入力シート!AN$8))</f>
        <v>73.895516122781402</v>
      </c>
      <c r="BN10" s="10">
        <f>IF(管理者入力シート!$B$14=1,BM7*管理者用人口入力シート!AO$4,IF(管理者入力シート!$B$14=2,BM7*管理者用人口入力シート!AO$8))</f>
        <v>68.763597066767147</v>
      </c>
      <c r="BO10" s="10">
        <f>IF(管理者入力シート!$B$14=1,BN7*管理者用人口入力シート!AP$4,IF(管理者入力シート!$B$14=2,BN7*管理者用人口入力シート!AP$8))</f>
        <v>53.816524980006648</v>
      </c>
      <c r="BP10" s="10">
        <f>IF(管理者入力シート!$B$14=1,BO7*管理者用人口入力シート!AQ$4,IF(管理者入力シート!$B$14=2,BO7*管理者用人口入力シート!AQ$8))</f>
        <v>49.817895140102472</v>
      </c>
      <c r="BQ10" s="10">
        <f>IF(管理者入力シート!$B$14=1,BP7*管理者用人口入力シート!AR$4,IF(管理者入力シート!$B$14=2,BP7*管理者用人口入力シート!AR$8))</f>
        <v>70.827525772804535</v>
      </c>
      <c r="BR10" s="10">
        <f>IF(管理者入力シート!$B$14=1,BQ7*管理者用人口入力シート!AS$4,IF(管理者入力シート!$B$14=2,BQ7*管理者用人口入力シート!AS$8))</f>
        <v>80.256252299359218</v>
      </c>
      <c r="BS10" s="10">
        <f>IF(管理者入力シート!$B$14=1,BR7*管理者用人口入力シート!AT$4,IF(管理者入力シート!$B$14=2,BR7*管理者用人口入力シート!AT$8))</f>
        <v>95.578119941199148</v>
      </c>
      <c r="BT10" s="10">
        <f>IF(管理者入力シート!$B$14=1,BS7*管理者用人口入力シート!AU$4,IF(管理者入力シート!$B$14=2,BS7*管理者用人口入力シート!AU$8))</f>
        <v>97.447363494214528</v>
      </c>
      <c r="BU10" s="10">
        <f>IF(管理者入力シート!$B$14=1,BT7*管理者用人口入力シート!AV$4,IF(管理者入力シート!$B$14=2,BT7*管理者用人口入力シート!AV$8))</f>
        <v>110.04084910900137</v>
      </c>
      <c r="BV10" s="10">
        <f>IF(管理者入力シート!$B$14=1,BU7*管理者用人口入力シート!AW$4,IF(管理者入力シート!$B$14=2,BU7*管理者用人口入力シート!AW$8))</f>
        <v>124.45517613495804</v>
      </c>
      <c r="BW10" s="10">
        <f>IF(管理者入力シート!$B$14=1,BV7*管理者用人口入力シート!AX$4,IF(管理者入力シート!$B$14=2,BV7*管理者用人口入力シート!AX$8))</f>
        <v>139.80871718434506</v>
      </c>
      <c r="BX10" s="10">
        <f>IF(管理者入力シート!$B$14=1,BW7*管理者用人口入力シート!AY$4,IF(管理者入力シート!$B$14=2,BW7*管理者用人口入力シート!AY$8))</f>
        <v>136.737543238059</v>
      </c>
      <c r="BY10" s="10">
        <f>IF(管理者入力シート!$B$14=1,BX7*管理者用人口入力シート!AZ$4,IF(管理者入力シート!$B$14=2,BX7*管理者用人口入力シート!AZ$8))</f>
        <v>111.95286012938156</v>
      </c>
      <c r="BZ10" s="10">
        <f>IF(管理者入力シート!$B$14=1,BY7*管理者用人口入力シート!BA$4,IF(管理者入力シート!$B$14=2,BY7*管理者用人口入力シート!BA$8))</f>
        <v>139.69888140095958</v>
      </c>
      <c r="CA10" s="10">
        <f>IF(管理者入力シート!$B$14=1,BZ7*管理者用人口入力シート!BB$4,IF(管理者入力シート!$B$14=2,BZ7*管理者用人口入力シート!BB$8))</f>
        <v>168.52955646052067</v>
      </c>
      <c r="CB10" s="10">
        <f>IF(管理者入力シート!$B$14=1,CA7*管理者用人口入力シート!BC$4,IF(管理者入力シート!$B$14=2,CA7*管理者用人口入力シート!BC$8))</f>
        <v>163.31762598295575</v>
      </c>
      <c r="CC10" s="10">
        <f>IF(管理者入力シート!$B$14=1,CB7*管理者用人口入力シート!BD$4,IF(管理者入力シート!$B$14=2,CB7*管理者用人口入力シート!BD$8))</f>
        <v>70.20947490295994</v>
      </c>
      <c r="CD10" s="10">
        <f>IF(管理者入力シート!$B$14=1,CC7*管理者用人口入力シート!BE$4,IF(管理者入力シート!$B$14=2,CC7*管理者用人口入力シート!BE$8))</f>
        <v>32.985941296236106</v>
      </c>
      <c r="CE10" s="10">
        <f>IF(管理者入力シート!$B$14=1,CD7*管理者用人口入力シート!BF$4,IF(管理者入力シート!$B$14=2,CD7*管理者用人口入力シート!BF$8))</f>
        <v>8.3337244923850076</v>
      </c>
      <c r="CF10" s="10">
        <f t="shared" si="2"/>
        <v>1920.831651629318</v>
      </c>
      <c r="CG10" s="10">
        <f t="shared" si="20"/>
        <v>85.348024764206016</v>
      </c>
      <c r="CH10" s="10">
        <f t="shared" si="21"/>
        <v>43.310925862465993</v>
      </c>
      <c r="CI10" s="10">
        <f t="shared" si="3"/>
        <v>831.76560790345775</v>
      </c>
      <c r="CJ10" s="10">
        <f t="shared" si="22"/>
        <v>583.07520453601705</v>
      </c>
      <c r="CK10" s="14">
        <f t="shared" si="23"/>
        <v>0.43302368908692462</v>
      </c>
      <c r="CL10" s="14">
        <f t="shared" si="24"/>
        <v>0.30355351758256993</v>
      </c>
      <c r="CM10" s="10">
        <f t="shared" si="25"/>
        <v>254.71819819227289</v>
      </c>
      <c r="CO10" s="7" t="str">
        <f t="shared" si="26"/>
        <v>2035_2</v>
      </c>
      <c r="CP10" s="29">
        <f>CP9</f>
        <v>2035</v>
      </c>
      <c r="CQ10" s="4" t="s">
        <v>22</v>
      </c>
      <c r="CR10" s="10">
        <f>DT10*$AK$14+将来予測シート②!$H17</f>
        <v>58.548638041501228</v>
      </c>
      <c r="CS10" s="10">
        <f>IF(管理者入力シート!$B$14=1,CR7*管理者用人口入力シート!AM$4,IF(管理者入力シート!$B$14=2,CR7*管理者用人口入力シート!AM$8))+将来予測シート②!$H18</f>
        <v>70.42842089904822</v>
      </c>
      <c r="CT10" s="10">
        <f>IF(管理者入力シート!$B$14=1,CS7*管理者用人口入力シート!AN$4,IF(管理者入力シート!$B$14=2,CS7*管理者用人口入力シート!AN$8))+将来予測シート②!$H19</f>
        <v>75.973676690868174</v>
      </c>
      <c r="CU10" s="10">
        <f>IF(管理者入力シート!$B$14=1,CT7*管理者用人口入力シート!AO$4,IF(管理者入力シート!$B$14=2,CT7*管理者用人口入力シート!AO$8))+将来予測シート②!$H20</f>
        <v>69.63727684229255</v>
      </c>
      <c r="CV10" s="10">
        <f>IF(管理者入力シート!$B$14=1,CU7*管理者用人口入力シート!AP$4,IF(管理者入力シート!$B$14=2,CU7*管理者用人口入力シート!AP$8))+将来予測シート②!$H21</f>
        <v>54.355005324186521</v>
      </c>
      <c r="CW10" s="10">
        <f>IF(管理者入力シート!$B$14=1,CV7*管理者用人口入力シート!AQ$4,IF(管理者入力シート!$B$14=2,CV7*管理者用人口入力シート!AQ$8))+将来予測シート②!$H22</f>
        <v>51.817895140102472</v>
      </c>
      <c r="CX10" s="10">
        <f>IF(管理者入力シート!$B$14=1,CW7*管理者用人口入力シート!AR$4,IF(管理者入力シート!$B$14=2,CW7*管理者用人口入力シート!AR$8))+将来予測シート②!$H23</f>
        <v>72.950009758987932</v>
      </c>
      <c r="CY10" s="10">
        <f>IF(管理者入力シート!$B$14=1,CX7*管理者用人口入力シート!AS$4,IF(管理者入力シート!$B$14=2,CX7*管理者用人口入力シート!AS$8))+将来予測シート②!$H24</f>
        <v>82.605142239440994</v>
      </c>
      <c r="CZ10" s="10">
        <f>IF(管理者入力シート!$B$14=1,CY7*管理者用人口入力シート!AT$4,IF(管理者入力シート!$B$14=2,CY7*管理者用人口入力シート!AT$8))+将来予測シート②!$H25</f>
        <v>96.578119941199148</v>
      </c>
      <c r="DA10" s="10">
        <f>IF(管理者入力シート!$B$14=1,CZ7*管理者用人口入力シート!AU$4,IF(管理者入力シート!$B$14=2,CZ7*管理者用人口入力シート!AU$8))+将来予測シート②!$H26</f>
        <v>98.555750613651909</v>
      </c>
      <c r="DB10" s="10">
        <f>IF(管理者入力シート!$B$14=1,DA7*管理者用人口入力シート!AV$4,IF(管理者入力シート!$B$14=2,DA7*管理者用人口入力シート!AV$8))+将来予測シート②!$H27</f>
        <v>111.16541791824645</v>
      </c>
      <c r="DC10" s="10">
        <f>IF(管理者入力シート!$B$14=1,DB7*管理者用人口入力シート!AW$4,IF(管理者入力シート!$B$14=2,DB7*管理者用人口入力シート!AW$8))+将来予測シート②!$H28</f>
        <v>124.45517613495804</v>
      </c>
      <c r="DD10" s="10">
        <f>IF(管理者入力シート!$B$14=1,DC7*管理者用人口入力シート!AX$4,IF(管理者入力シート!$B$14=2,DC7*管理者用人口入力シート!AX$8))+将来予測シート②!$H29</f>
        <v>139.80871718434506</v>
      </c>
      <c r="DE10" s="10">
        <f>IF(管理者入力シート!$B$14=1,DD7*管理者用人口入力シート!AY$4,IF(管理者入力シート!$B$14=2,DD7*管理者用人口入力シート!AY$8))</f>
        <v>136.737543238059</v>
      </c>
      <c r="DF10" s="10">
        <f>IF(管理者入力シート!$B$14=1,DE7*管理者用人口入力シート!AZ$4,IF(管理者入力シート!$B$14=2,DE7*管理者用人口入力シート!AZ$8))</f>
        <v>111.95286012938156</v>
      </c>
      <c r="DG10" s="10">
        <f>IF(管理者入力シート!$B$14=1,DF7*管理者用人口入力シート!BA$4,IF(管理者入力シート!$B$14=2,DF7*管理者用人口入力シート!BA$8))</f>
        <v>139.69888140095958</v>
      </c>
      <c r="DH10" s="10">
        <f>IF(管理者入力シート!$B$14=1,DG7*管理者用人口入力シート!BB$4,IF(管理者入力シート!$B$14=2,DG7*管理者用人口入力シート!BB$8))</f>
        <v>168.52955646052067</v>
      </c>
      <c r="DI10" s="10">
        <f>IF(管理者入力シート!$B$14=1,DH7*管理者用人口入力シート!BC$4,IF(管理者入力シート!$B$14=2,DH7*管理者用人口入力シート!BC$8))</f>
        <v>163.31762598295575</v>
      </c>
      <c r="DJ10" s="10">
        <f>IF(管理者入力シート!$B$14=1,DI7*管理者用人口入力シート!BD$4,IF(管理者入力シート!$B$14=2,DI7*管理者用人口入力シート!BD$8))</f>
        <v>70.20947490295994</v>
      </c>
      <c r="DK10" s="10">
        <f>IF(管理者入力シート!$B$14=1,DJ7*管理者用人口入力シート!BE$4,IF(管理者入力シート!$B$14=2,DJ7*管理者用人口入力シート!BE$8))</f>
        <v>32.985941296236106</v>
      </c>
      <c r="DL10" s="10">
        <f>IF(管理者入力シート!$B$14=1,DK7*管理者用人口入力シート!BF$4,IF(管理者入力シート!$B$14=2,DK7*管理者用人口入力シート!BF$8))</f>
        <v>8.3337244923850076</v>
      </c>
      <c r="DM10" s="10">
        <f t="shared" si="69"/>
        <v>1938.6448546322863</v>
      </c>
      <c r="DN10" s="10">
        <f t="shared" si="34"/>
        <v>87.841258553949842</v>
      </c>
      <c r="DO10" s="10">
        <f t="shared" si="35"/>
        <v>44.316926044805783</v>
      </c>
      <c r="DP10" s="10">
        <f t="shared" si="6"/>
        <v>831.76560790345775</v>
      </c>
      <c r="DQ10" s="10">
        <f t="shared" si="36"/>
        <v>583.07520453601705</v>
      </c>
      <c r="DR10" s="14">
        <f t="shared" si="37"/>
        <v>0.42904485879195414</v>
      </c>
      <c r="DS10" s="14">
        <f t="shared" si="38"/>
        <v>0.30076432160474914</v>
      </c>
      <c r="DT10" s="10">
        <f t="shared" si="70"/>
        <v>261.72805246271793</v>
      </c>
      <c r="DV10" s="62" t="s">
        <v>405</v>
      </c>
      <c r="DW10" s="209">
        <f>((SUM(BL12:BL13)*3/5+SUM(BM12:BM13)+SUM(BN12:BN13)*1/5)-(SUM(E12:E13)*3/5+SUM(F12:F13)+SUM(G12:G13)*1/5))/4</f>
        <v>-12.536912435800119</v>
      </c>
      <c r="DX10" s="29">
        <f>DX9</f>
        <v>2035</v>
      </c>
      <c r="DY10" s="4" t="s">
        <v>22</v>
      </c>
      <c r="DZ10" s="10">
        <f>FB10*$AK$14</f>
        <v>93.660284902292176</v>
      </c>
      <c r="EA10" s="10">
        <f>IF(管理者入力シート!$B$14=1,DZ7*管理者用人口入力シート!AM$4,IF(管理者入力シート!$B$14=2,DZ7*管理者用人口入力シート!AM$8))</f>
        <v>101.78013868246762</v>
      </c>
      <c r="EB10" s="10">
        <f>IF(管理者入力シート!$B$14=1,EA7*管理者用人口入力シート!AN$4,IF(管理者入力シート!$B$14=2,EA7*管理者用人口入力シート!AN$8))</f>
        <v>73.895516122781402</v>
      </c>
      <c r="EC10" s="10">
        <f>IF(管理者入力シート!$B$14=1,EB7*管理者用人口入力シート!AO$4,IF(管理者入力シート!$B$14=2,EB7*管理者用人口入力シート!AO$8))</f>
        <v>68.763597066767147</v>
      </c>
      <c r="ED10" s="10">
        <f>IF(管理者入力シート!$B$14=1,EC7*管理者用人口入力シート!AP$4,IF(管理者入力シート!$B$14=2,EC7*管理者用人口入力シート!AP$8))</f>
        <v>53.816524980006648</v>
      </c>
      <c r="EE10" s="10">
        <f>IF(管理者入力シート!$B$14=1,ED7*管理者用人口入力シート!AQ$4,IF(管理者入力シート!$B$14=2,ED7*管理者用人口入力シート!AQ$8))+DX1</f>
        <v>76.817895140102479</v>
      </c>
      <c r="EF10" s="10">
        <f>IF(管理者入力シート!$B$14=1,EE7*管理者用人口入力シート!AR$4,IF(管理者入力シート!$B$14=2,EE7*管理者用人口入力シート!AR$8))+DX1</f>
        <v>126.48105958628032</v>
      </c>
      <c r="EG10" s="10">
        <f>IF(管理者入力シート!$B$14=1,EF7*管理者用人口入力シート!AS$4,IF(管理者入力シート!$B$14=2,EF7*管理者用人口入力シート!AS$8))+DX1</f>
        <v>168.84636395882976</v>
      </c>
      <c r="EH10" s="10">
        <f>IF(管理者入力シート!$B$14=1,EG7*管理者用人口入力シート!AT$4,IF(管理者入力シート!$B$14=2,EG7*管理者用人口入力シート!AT$8))</f>
        <v>150.68513114323909</v>
      </c>
      <c r="EI10" s="10">
        <f>IF(管理者入力シート!$B$14=1,EH7*管理者用人口入力シート!AU$4,IF(管理者入力シート!$B$14=2,EH7*管理者用人口入力シート!AU$8))</f>
        <v>126.44093789705437</v>
      </c>
      <c r="EJ10" s="10">
        <f>IF(管理者入力シート!$B$14=1,EI7*管理者用人口入力シート!AV$4,IF(管理者入力シート!$B$14=2,EI7*管理者用人口入力シート!AV$8))</f>
        <v>110.04084910900137</v>
      </c>
      <c r="EK10" s="10">
        <f>IF(管理者入力シート!$B$14=1,EJ7*管理者用人口入力シート!AW$4,IF(管理者入力シート!$B$14=2,EJ7*管理者用人口入力シート!AW$8))</f>
        <v>124.45517613495804</v>
      </c>
      <c r="EL10" s="10">
        <f>IF(管理者入力シート!$B$14=1,EK7*管理者用人口入力シート!AX$4,IF(管理者入力シート!$B$14=2,EK7*管理者用人口入力シート!AX$8))</f>
        <v>139.80871718434506</v>
      </c>
      <c r="EM10" s="10">
        <f>IF(管理者入力シート!$B$14=1,EL7*管理者用人口入力シート!AY$4,IF(管理者入力シート!$B$14=2,EL7*管理者用人口入力シート!AY$8))</f>
        <v>136.737543238059</v>
      </c>
      <c r="EN10" s="10">
        <f>IF(管理者入力シート!$B$14=1,EM7*管理者用人口入力シート!AZ$4,IF(管理者入力シート!$B$14=2,EM7*管理者用人口入力シート!AZ$8))</f>
        <v>111.95286012938156</v>
      </c>
      <c r="EO10" s="10">
        <f>IF(管理者入力シート!$B$14=1,EN7*管理者用人口入力シート!BA$4,IF(管理者入力シート!$B$14=2,EN7*管理者用人口入力シート!BA$8))</f>
        <v>139.69888140095958</v>
      </c>
      <c r="EP10" s="10">
        <f>IF(管理者入力シート!$B$14=1,EO7*管理者用人口入力シート!BB$4,IF(管理者入力シート!$B$14=2,EO7*管理者用人口入力シート!BB$8))</f>
        <v>168.52955646052067</v>
      </c>
      <c r="EQ10" s="10">
        <f>IF(管理者入力シート!$B$14=1,EP7*管理者用人口入力シート!BC$4,IF(管理者入力シート!$B$14=2,EP7*管理者用人口入力シート!BC$8))</f>
        <v>163.31762598295575</v>
      </c>
      <c r="ER10" s="10">
        <f>IF(管理者入力シート!$B$14=1,EQ7*管理者用人口入力シート!BD$4,IF(管理者入力シート!$B$14=2,EQ7*管理者用人口入力シート!BD$8))</f>
        <v>70.20947490295994</v>
      </c>
      <c r="ES10" s="10">
        <f>IF(管理者入力シート!$B$14=1,ER7*管理者用人口入力シート!BE$4,IF(管理者入力シート!$B$14=2,ER7*管理者用人口入力シート!BE$8))</f>
        <v>32.985941296236106</v>
      </c>
      <c r="ET10" s="10">
        <f>IF(管理者入力シート!$B$14=1,ES7*管理者用人口入力シート!BF$4,IF(管理者入力シート!$B$14=2,ES7*管理者用人口入力シート!BF$8))</f>
        <v>8.3337244923850076</v>
      </c>
      <c r="EU10" s="10">
        <f t="shared" si="71"/>
        <v>2247.257799811583</v>
      </c>
      <c r="EV10" s="10">
        <f t="shared" si="41"/>
        <v>105.40539288314942</v>
      </c>
      <c r="EW10" s="10">
        <f t="shared" si="42"/>
        <v>43.310925862465993</v>
      </c>
      <c r="EX10" s="10">
        <f t="shared" si="10"/>
        <v>831.76560790345775</v>
      </c>
      <c r="EY10" s="10">
        <f t="shared" si="43"/>
        <v>583.07520453601705</v>
      </c>
      <c r="EZ10" s="14">
        <f t="shared" si="44"/>
        <v>0.37012469507200979</v>
      </c>
      <c r="FA10" s="14">
        <f t="shared" si="45"/>
        <v>0.25946075460719453</v>
      </c>
      <c r="FB10" s="10">
        <f t="shared" si="72"/>
        <v>425.96184366521925</v>
      </c>
    </row>
    <row r="11" spans="1:158" x14ac:dyDescent="0.15">
      <c r="A11" s="7" t="str">
        <f t="shared" si="11"/>
        <v>2015_3</v>
      </c>
      <c r="B11" s="30">
        <v>2015</v>
      </c>
      <c r="C11" s="5" t="s">
        <v>23</v>
      </c>
      <c r="D11" s="11">
        <v>170.03174603174602</v>
      </c>
      <c r="E11" s="11">
        <v>190.03174603174602</v>
      </c>
      <c r="F11" s="11">
        <v>231.11111111111111</v>
      </c>
      <c r="G11" s="11">
        <v>221.03174603174602</v>
      </c>
      <c r="H11" s="11">
        <v>149.04761904761904</v>
      </c>
      <c r="I11" s="11">
        <v>154.04761904761904</v>
      </c>
      <c r="J11" s="11">
        <v>195.03174603174602</v>
      </c>
      <c r="K11" s="11">
        <v>215.07936507936506</v>
      </c>
      <c r="L11" s="11">
        <v>251.01587301587301</v>
      </c>
      <c r="M11" s="11">
        <v>251.06349206349205</v>
      </c>
      <c r="N11" s="11">
        <v>242.04761904761904</v>
      </c>
      <c r="O11" s="11">
        <v>321.03174603174602</v>
      </c>
      <c r="P11" s="11">
        <v>397.03174603174602</v>
      </c>
      <c r="Q11" s="11">
        <v>437.11111111111109</v>
      </c>
      <c r="R11" s="11">
        <v>333.04761904761904</v>
      </c>
      <c r="S11" s="11">
        <v>299.04761904761904</v>
      </c>
      <c r="T11" s="11">
        <v>273.09523809523807</v>
      </c>
      <c r="U11" s="11">
        <v>178.03174603174602</v>
      </c>
      <c r="V11" s="11">
        <v>78.015873015873012</v>
      </c>
      <c r="W11" s="11">
        <v>38.031746031746032</v>
      </c>
      <c r="X11" s="11">
        <v>10.015873015873016</v>
      </c>
      <c r="Y11" s="11">
        <f t="shared" si="68"/>
        <v>4633.9999999999991</v>
      </c>
      <c r="Z11" s="11">
        <f t="shared" si="12"/>
        <v>252.68571428571431</v>
      </c>
      <c r="AA11" s="11">
        <f t="shared" si="13"/>
        <v>136.65079365079364</v>
      </c>
      <c r="AB11" s="11">
        <f t="shared" si="0"/>
        <v>1646.3968253968253</v>
      </c>
      <c r="AC11" s="11">
        <f t="shared" si="14"/>
        <v>876.23809523809518</v>
      </c>
      <c r="AD11" s="15">
        <f t="shared" si="15"/>
        <v>0.35528632399586224</v>
      </c>
      <c r="AE11" s="15">
        <f t="shared" si="16"/>
        <v>0.18908892862280866</v>
      </c>
      <c r="AF11" s="11">
        <f t="shared" si="17"/>
        <v>713.20634920634916</v>
      </c>
      <c r="BH11" s="7" t="str">
        <f t="shared" si="19"/>
        <v>2035_3</v>
      </c>
      <c r="BI11" s="30">
        <f>BI10</f>
        <v>2035</v>
      </c>
      <c r="BJ11" s="5" t="s">
        <v>23</v>
      </c>
      <c r="BK11" s="16">
        <f>BK9+BK10</f>
        <v>133.64756811834076</v>
      </c>
      <c r="BL11" s="16">
        <f t="shared" ref="BL11" si="117">BL9+BL10</f>
        <v>163.74800286611801</v>
      </c>
      <c r="BM11" s="16">
        <f t="shared" ref="BM11" si="118">BM9+BM10</f>
        <v>183.2758183895931</v>
      </c>
      <c r="BN11" s="16">
        <f t="shared" ref="BN11" si="119">BN9+BN10</f>
        <v>160.00869544544742</v>
      </c>
      <c r="BO11" s="16">
        <f t="shared" ref="BO11" si="120">BO9+BO10</f>
        <v>102.27420792245152</v>
      </c>
      <c r="BP11" s="16">
        <f t="shared" ref="BP11" si="121">BP9+BP10</f>
        <v>101.24260574891446</v>
      </c>
      <c r="BQ11" s="16">
        <f t="shared" ref="BQ11" si="122">BQ9+BQ10</f>
        <v>129.11551256493294</v>
      </c>
      <c r="BR11" s="16">
        <f t="shared" ref="BR11" si="123">BR9+BR10</f>
        <v>167.00226621153223</v>
      </c>
      <c r="BS11" s="16">
        <f t="shared" ref="BS11" si="124">BS9+BS10</f>
        <v>182.25742068952439</v>
      </c>
      <c r="BT11" s="16">
        <f t="shared" ref="BT11" si="125">BT9+BT10</f>
        <v>206.6059640869382</v>
      </c>
      <c r="BU11" s="16">
        <f t="shared" ref="BU11" si="126">BU9+BU10</f>
        <v>230.39949180739887</v>
      </c>
      <c r="BV11" s="16">
        <f t="shared" ref="BV11" si="127">BV9+BV10</f>
        <v>246.82680030548391</v>
      </c>
      <c r="BW11" s="16">
        <f t="shared" ref="BW11" si="128">BW9+BW10</f>
        <v>262.45912881915632</v>
      </c>
      <c r="BX11" s="16">
        <f t="shared" ref="BX11" si="129">BX9+BX10</f>
        <v>246.25525017971739</v>
      </c>
      <c r="BY11" s="16">
        <f t="shared" ref="BY11" si="130">BY9+BY10</f>
        <v>216.3042827378635</v>
      </c>
      <c r="BZ11" s="16">
        <f t="shared" ref="BZ11" si="131">BZ9+BZ10</f>
        <v>263.40460249678</v>
      </c>
      <c r="CA11" s="16">
        <f t="shared" ref="CA11" si="132">CA9+CA10</f>
        <v>288.14343145100867</v>
      </c>
      <c r="CB11" s="16">
        <f t="shared" ref="CB11" si="133">CB9+CB10</f>
        <v>241.15603800263952</v>
      </c>
      <c r="CC11" s="16">
        <f t="shared" ref="CC11" si="134">CC9+CC10</f>
        <v>100.84162789027131</v>
      </c>
      <c r="CD11" s="16">
        <f t="shared" ref="CD11" si="135">CD9+CD10</f>
        <v>44.36113919063385</v>
      </c>
      <c r="CE11" s="16">
        <f t="shared" ref="CE11" si="136">CE9+CE10</f>
        <v>11.42148149485342</v>
      </c>
      <c r="CF11" s="11">
        <f t="shared" si="2"/>
        <v>3680.7513364195997</v>
      </c>
      <c r="CG11" s="11">
        <f t="shared" si="20"/>
        <v>208.21429275342666</v>
      </c>
      <c r="CH11" s="11">
        <f t="shared" si="21"/>
        <v>105.31206644492673</v>
      </c>
      <c r="CI11" s="11">
        <f t="shared" si="3"/>
        <v>1411.8878534437677</v>
      </c>
      <c r="CJ11" s="11">
        <f t="shared" si="22"/>
        <v>949.32832052618676</v>
      </c>
      <c r="CK11" s="15">
        <f t="shared" si="23"/>
        <v>0.38358686159363381</v>
      </c>
      <c r="CL11" s="15">
        <f t="shared" si="24"/>
        <v>0.25791699404764268</v>
      </c>
      <c r="CM11" s="11">
        <f t="shared" si="25"/>
        <v>499.63459244783115</v>
      </c>
      <c r="CO11" s="7" t="str">
        <f t="shared" si="26"/>
        <v>2035_3</v>
      </c>
      <c r="CP11" s="30">
        <f>CP10</f>
        <v>2035</v>
      </c>
      <c r="CQ11" s="5" t="s">
        <v>23</v>
      </c>
      <c r="CR11" s="16">
        <f>CR9+CR10</f>
        <v>139.32555415450832</v>
      </c>
      <c r="CS11" s="16">
        <f t="shared" ref="CS11" si="137">CS9+CS10</f>
        <v>168.3006752969587</v>
      </c>
      <c r="CT11" s="16">
        <f t="shared" ref="CT11" si="138">CT9+CT10</f>
        <v>187.5052094457364</v>
      </c>
      <c r="CU11" s="16">
        <f t="shared" ref="CU11" si="139">CU9+CU10</f>
        <v>161.66559240431138</v>
      </c>
      <c r="CV11" s="16">
        <f t="shared" ref="CV11" si="140">CV9+CV10</f>
        <v>103.34283462219284</v>
      </c>
      <c r="CW11" s="16">
        <f t="shared" ref="CW11" si="141">CW9+CW10</f>
        <v>105.24260574891446</v>
      </c>
      <c r="CX11" s="16">
        <f t="shared" ref="CX11" si="142">CX9+CX10</f>
        <v>133.41406909455651</v>
      </c>
      <c r="CY11" s="16">
        <f t="shared" ref="CY11" si="143">CY9+CY10</f>
        <v>171.57109247890833</v>
      </c>
      <c r="CZ11" s="16">
        <f t="shared" ref="CZ11" si="144">CZ9+CZ10</f>
        <v>183.25742068952439</v>
      </c>
      <c r="DA11" s="16">
        <f t="shared" ref="DA11" si="145">DA9+DA10</f>
        <v>207.71435120637557</v>
      </c>
      <c r="DB11" s="16">
        <f t="shared" ref="DB11" si="146">DB9+DB10</f>
        <v>231.52406061664396</v>
      </c>
      <c r="DC11" s="16">
        <f t="shared" ref="DC11" si="147">DC9+DC10</f>
        <v>246.82680030548391</v>
      </c>
      <c r="DD11" s="16">
        <f t="shared" ref="DD11" si="148">DD9+DD10</f>
        <v>262.45912881915632</v>
      </c>
      <c r="DE11" s="16">
        <f t="shared" ref="DE11" si="149">DE9+DE10</f>
        <v>246.25525017971739</v>
      </c>
      <c r="DF11" s="16">
        <f t="shared" ref="DF11" si="150">DF9+DF10</f>
        <v>216.3042827378635</v>
      </c>
      <c r="DG11" s="16">
        <f t="shared" ref="DG11" si="151">DG9+DG10</f>
        <v>263.40460249678</v>
      </c>
      <c r="DH11" s="16">
        <f t="shared" ref="DH11" si="152">DH9+DH10</f>
        <v>288.14343145100867</v>
      </c>
      <c r="DI11" s="16">
        <f t="shared" ref="DI11" si="153">DI9+DI10</f>
        <v>241.15603800263952</v>
      </c>
      <c r="DJ11" s="16">
        <f t="shared" ref="DJ11" si="154">DJ9+DJ10</f>
        <v>100.84162789027131</v>
      </c>
      <c r="DK11" s="16">
        <f t="shared" ref="DK11" si="155">DK9+DK10</f>
        <v>44.36113919063385</v>
      </c>
      <c r="DL11" s="16">
        <f t="shared" ref="DL11" si="156">DL9+DL10</f>
        <v>11.42148149485342</v>
      </c>
      <c r="DM11" s="11">
        <f t="shared" si="69"/>
        <v>3714.0372483270385</v>
      </c>
      <c r="DN11" s="11">
        <f t="shared" si="34"/>
        <v>213.48353084561705</v>
      </c>
      <c r="DO11" s="11">
        <f t="shared" si="35"/>
        <v>107.33520225915683</v>
      </c>
      <c r="DP11" s="11">
        <f t="shared" si="6"/>
        <v>1411.8878534437677</v>
      </c>
      <c r="DQ11" s="11">
        <f t="shared" si="36"/>
        <v>949.32832052618676</v>
      </c>
      <c r="DR11" s="15">
        <f t="shared" si="37"/>
        <v>0.38014908280194076</v>
      </c>
      <c r="DS11" s="15">
        <f t="shared" si="38"/>
        <v>0.25560549263575771</v>
      </c>
      <c r="DT11" s="11">
        <f t="shared" si="70"/>
        <v>513.5706019445721</v>
      </c>
      <c r="DW11" s="210"/>
      <c r="DX11" s="30">
        <f>DX10</f>
        <v>2035</v>
      </c>
      <c r="DY11" s="5" t="s">
        <v>23</v>
      </c>
      <c r="DZ11" s="16">
        <f>DZ9+DZ10</f>
        <v>223.49704465987537</v>
      </c>
      <c r="EA11" s="16">
        <f t="shared" ref="EA11" si="157">EA9+EA10</f>
        <v>243.83326753357949</v>
      </c>
      <c r="EB11" s="16">
        <f t="shared" ref="EB11" si="158">EB9+EB10</f>
        <v>183.2758183895931</v>
      </c>
      <c r="EC11" s="16">
        <f t="shared" ref="EC11" si="159">EC9+EC10</f>
        <v>160.00869544544742</v>
      </c>
      <c r="ED11" s="16">
        <f t="shared" ref="ED11" si="160">ED9+ED10</f>
        <v>102.27420792245152</v>
      </c>
      <c r="EE11" s="16">
        <f t="shared" ref="EE11" si="161">EE9+EE10</f>
        <v>155.24260574891446</v>
      </c>
      <c r="EF11" s="16">
        <f t="shared" ref="EF11" si="162">EF9+EF10</f>
        <v>241.14602571485125</v>
      </c>
      <c r="EG11" s="16">
        <f t="shared" ref="EG11" si="163">EG9+EG10</f>
        <v>340.10576584575847</v>
      </c>
      <c r="EH11" s="16">
        <f t="shared" ref="EH11" si="164">EH9+EH10</f>
        <v>293.34869060066649</v>
      </c>
      <c r="EI11" s="16">
        <f t="shared" ref="EI11" si="165">EI9+EI10</f>
        <v>265.35261592474717</v>
      </c>
      <c r="EJ11" s="16">
        <f t="shared" ref="EJ11" si="166">EJ9+EJ10</f>
        <v>230.39949180739887</v>
      </c>
      <c r="EK11" s="16">
        <f t="shared" ref="EK11" si="167">EK9+EK10</f>
        <v>246.82680030548391</v>
      </c>
      <c r="EL11" s="16">
        <f t="shared" ref="EL11" si="168">EL9+EL10</f>
        <v>262.45912881915632</v>
      </c>
      <c r="EM11" s="16">
        <f t="shared" ref="EM11" si="169">EM9+EM10</f>
        <v>246.25525017971739</v>
      </c>
      <c r="EN11" s="16">
        <f t="shared" ref="EN11" si="170">EN9+EN10</f>
        <v>216.3042827378635</v>
      </c>
      <c r="EO11" s="16">
        <f t="shared" ref="EO11" si="171">EO9+EO10</f>
        <v>263.40460249678</v>
      </c>
      <c r="EP11" s="16">
        <f t="shared" ref="EP11" si="172">EP9+EP10</f>
        <v>288.14343145100867</v>
      </c>
      <c r="EQ11" s="16">
        <f t="shared" ref="EQ11" si="173">EQ9+EQ10</f>
        <v>241.15603800263952</v>
      </c>
      <c r="ER11" s="16">
        <f t="shared" ref="ER11" si="174">ER9+ER10</f>
        <v>100.84162789027131</v>
      </c>
      <c r="ES11" s="16">
        <f t="shared" ref="ES11" si="175">ES9+ES10</f>
        <v>44.36113919063385</v>
      </c>
      <c r="ET11" s="16">
        <f t="shared" ref="ET11" si="176">ET9+ET10</f>
        <v>11.42148149485342</v>
      </c>
      <c r="EU11" s="11">
        <f t="shared" si="71"/>
        <v>4359.6580121616926</v>
      </c>
      <c r="EV11" s="11">
        <f t="shared" si="41"/>
        <v>256.26545155390357</v>
      </c>
      <c r="EW11" s="11">
        <f t="shared" si="42"/>
        <v>105.31206644492673</v>
      </c>
      <c r="EX11" s="11">
        <f t="shared" si="10"/>
        <v>1411.8878534437677</v>
      </c>
      <c r="EY11" s="11">
        <f t="shared" si="43"/>
        <v>949.32832052618676</v>
      </c>
      <c r="EZ11" s="15">
        <f t="shared" si="44"/>
        <v>0.32385289155827551</v>
      </c>
      <c r="FA11" s="15">
        <f t="shared" si="45"/>
        <v>0.2177529333442996</v>
      </c>
      <c r="FB11" s="11">
        <f t="shared" si="72"/>
        <v>838.7686052319757</v>
      </c>
    </row>
    <row r="12" spans="1:158" x14ac:dyDescent="0.15">
      <c r="A12" s="7" t="str">
        <f t="shared" si="11"/>
        <v>2020_1</v>
      </c>
      <c r="B12" s="28">
        <v>2020</v>
      </c>
      <c r="C12" s="3" t="s">
        <v>21</v>
      </c>
      <c r="D12" s="9">
        <v>101.19639794168096</v>
      </c>
      <c r="E12" s="9">
        <v>87.098198970840485</v>
      </c>
      <c r="F12" s="9">
        <v>98.17881646655232</v>
      </c>
      <c r="G12" s="9">
        <v>80.105774728416236</v>
      </c>
      <c r="H12" s="9">
        <v>79.1007718696398</v>
      </c>
      <c r="I12" s="9">
        <v>76.083047455688956</v>
      </c>
      <c r="J12" s="9">
        <v>97.1007718696398</v>
      </c>
      <c r="K12" s="9">
        <v>108.18639222412807</v>
      </c>
      <c r="L12" s="9">
        <v>118.15122927387078</v>
      </c>
      <c r="M12" s="9">
        <v>133.23170383076044</v>
      </c>
      <c r="N12" s="9">
        <v>120.11335048599199</v>
      </c>
      <c r="O12" s="9">
        <v>120.14365351629502</v>
      </c>
      <c r="P12" s="9">
        <v>155.20911949685535</v>
      </c>
      <c r="Q12" s="9">
        <v>181.20654659805604</v>
      </c>
      <c r="R12" s="9">
        <v>177.20654659805604</v>
      </c>
      <c r="S12" s="9">
        <v>149.32489994282446</v>
      </c>
      <c r="T12" s="9">
        <v>112.2015437392796</v>
      </c>
      <c r="U12" s="9">
        <v>71.075614636935398</v>
      </c>
      <c r="V12" s="9">
        <v>29.078044596912523</v>
      </c>
      <c r="W12" s="9">
        <v>7.0075757575757578</v>
      </c>
      <c r="X12" s="9">
        <v>2</v>
      </c>
      <c r="Y12" s="9">
        <f t="shared" ref="Y12:Y14" si="177">SUM(D12:X12)</f>
        <v>2103.0000000000005</v>
      </c>
      <c r="Z12" s="9">
        <f>E12*3/5+F12*3/5</f>
        <v>111.16620926243567</v>
      </c>
      <c r="AA12" s="9">
        <f>F12*2/5+G12*1/5</f>
        <v>55.292681532304172</v>
      </c>
      <c r="AB12" s="9">
        <f t="shared" ref="AB12:AB14" si="178">SUM(Q12:X12)</f>
        <v>729.10077186963974</v>
      </c>
      <c r="AC12" s="9">
        <f>SUM(S12:X12)</f>
        <v>370.68767867352773</v>
      </c>
      <c r="AD12" s="13">
        <f>AB12/Y12</f>
        <v>0.34669556436977633</v>
      </c>
      <c r="AE12" s="13">
        <f>AC12/Y12</f>
        <v>0.17626613346339878</v>
      </c>
      <c r="AF12" s="9">
        <f>SUM(H12:K12)</f>
        <v>360.47098341909663</v>
      </c>
      <c r="AK12" s="61">
        <f>管理者入力シート!B5</f>
        <v>2020</v>
      </c>
      <c r="AL12" s="62"/>
      <c r="BH12" s="7" t="str">
        <f t="shared" si="19"/>
        <v>2040_1</v>
      </c>
      <c r="BI12" s="28">
        <f>管理者入力シート!B11</f>
        <v>2040</v>
      </c>
      <c r="BJ12" s="3" t="s">
        <v>21</v>
      </c>
      <c r="BK12" s="9">
        <f>CM13*$AK$13</f>
        <v>70.170302286724052</v>
      </c>
      <c r="BL12" s="9">
        <f>IF(管理者入力シート!$B$14=1,BK9*管理者用人口入力シート!AM$3,IF(管理者入力シート!$B$14=2,BK9*管理者用人口入力シート!AM$7))</f>
        <v>85.170959114138412</v>
      </c>
      <c r="BM12" s="9">
        <f>IF(管理者入力シート!$B$14=1,BL9*管理者用人口入力シート!AN$3,IF(管理者入力シート!$B$14=2,BL9*管理者用人口入力シート!AN$7))</f>
        <v>100.11324679902458</v>
      </c>
      <c r="BN12" s="9">
        <f>IF(管理者入力シート!$B$14=1,BM9*管理者用人口入力シート!AO$3,IF(管理者入力シート!$B$14=2,BM9*管理者用人口入力シート!AO$7))</f>
        <v>85.668532254136963</v>
      </c>
      <c r="BO12" s="9">
        <f>IF(管理者入力シート!$B$14=1,BN9*管理者用人口入力シート!AP$3,IF(管理者入力シート!$B$14=2,BN9*管理者用人口入力シート!AP$7))</f>
        <v>61.762251132057408</v>
      </c>
      <c r="BP12" s="9">
        <f>IF(管理者入力シート!$B$14=1,BO9*管理者用人口入力シート!AQ$3,IF(管理者入力シート!$B$14=2,BO9*管理者用人口入力シート!AQ$7))</f>
        <v>47.876338372481243</v>
      </c>
      <c r="BQ12" s="9">
        <f>IF(管理者入力シート!$B$14=1,BP9*管理者用人口入力シート!AR$3,IF(管理者入力シート!$B$14=2,BP9*管理者用人口入力シート!AR$7))</f>
        <v>55.951950405096525</v>
      </c>
      <c r="BR12" s="9">
        <f>IF(管理者入力シート!$B$14=1,BQ9*管理者用人口入力シート!AS$3,IF(管理者入力シート!$B$14=2,BQ9*管理者用人口入力シート!AS$7))</f>
        <v>59.462916213322885</v>
      </c>
      <c r="BS12" s="9">
        <f>IF(管理者入力シート!$B$14=1,BR9*管理者用人口入力シート!AT$3,IF(管理者入力シート!$B$14=2,BR9*管理者用人口入力シート!AT$7))</f>
        <v>89.036177093308993</v>
      </c>
      <c r="BT12" s="9">
        <f>IF(管理者入力シート!$B$14=1,BS9*管理者用人口入力シート!AU$3,IF(管理者入力シート!$B$14=2,BS9*管理者用人口入力シート!AU$7))</f>
        <v>93.060750466697556</v>
      </c>
      <c r="BU12" s="9">
        <f>IF(管理者入力シート!$B$14=1,BT9*管理者用人口入力シート!AV$3,IF(管理者入力シート!$B$14=2,BT9*管理者用人口入力シート!AV$7))</f>
        <v>110.20326820958428</v>
      </c>
      <c r="BV12" s="9">
        <f>IF(管理者入力シート!$B$14=1,BU9*管理者用人口入力シート!AW$3,IF(管理者入力シート!$B$14=2,BU9*管理者用人口入力シート!AW$7))</f>
        <v>115.00907091571408</v>
      </c>
      <c r="BW12" s="9">
        <f>IF(管理者入力シート!$B$14=1,BV9*管理者用人口入力シート!AX$3,IF(管理者入力シート!$B$14=2,BV9*管理者用人口入力シート!AX$7))</f>
        <v>116.77525492110101</v>
      </c>
      <c r="BX12" s="9">
        <f>IF(管理者入力シート!$B$14=1,BW9*管理者用人口入力シート!AY$3,IF(管理者入力シート!$B$14=2,BW9*管理者用人口入力シート!AY$7))</f>
        <v>122.64141630819796</v>
      </c>
      <c r="BY12" s="9">
        <f>IF(管理者入力シート!$B$14=1,BX9*管理者用人口入力シート!AZ$3,IF(管理者入力シート!$B$14=2,BX9*管理者用人口入力シート!AZ$7))</f>
        <v>99.688172540980077</v>
      </c>
      <c r="BZ12" s="9">
        <f>IF(管理者入力シート!$B$14=1,BY9*管理者用人口入力シート!BA$3,IF(管理者入力シート!$B$14=2,BY9*管理者用人口入力シート!BA$7))</f>
        <v>91.37838629894776</v>
      </c>
      <c r="CA12" s="9">
        <f>IF(管理者入力シート!$B$14=1,BZ9*管理者用人口入力シート!BB$3,IF(管理者入力シート!$B$14=2,BZ9*管理者用人口入力シート!BB$7))</f>
        <v>102.44554059573768</v>
      </c>
      <c r="CB12" s="9">
        <f>IF(管理者入力シート!$B$14=1,CA9*管理者用人口入力シート!BC$3,IF(管理者入力シート!$B$14=2,CA9*管理者用人口入力シート!BC$7))</f>
        <v>72.451500040707202</v>
      </c>
      <c r="CC12" s="9">
        <f>IF(管理者入力シート!$B$14=1,CB9*管理者用人口入力シート!BD$3,IF(管理者入力シート!$B$14=2,CB9*管理者用人口入力シート!BD$7))</f>
        <v>31.832457087981503</v>
      </c>
      <c r="CD12" s="9">
        <f>IF(管理者入力シート!$B$14=1,CC9*管理者用人口入力シート!BE$3,IF(管理者入力シート!$B$14=2,CC9*管理者用人口入力シート!BE$7))</f>
        <v>12.537057979169481</v>
      </c>
      <c r="CE12" s="9">
        <f>IF(管理者入力シート!$B$14=1,CD9*管理者用人口入力シート!BF$3,IF(管理者入力シート!$B$14=2,CD9*管理者用人口入力シート!BF$7))</f>
        <v>2.9524812289165756</v>
      </c>
      <c r="CF12" s="9">
        <f t="shared" si="2"/>
        <v>1626.1880302640263</v>
      </c>
      <c r="CG12" s="9">
        <f t="shared" si="20"/>
        <v>111.1705235478978</v>
      </c>
      <c r="CH12" s="9">
        <f t="shared" si="21"/>
        <v>57.179005170437222</v>
      </c>
      <c r="CI12" s="9">
        <f t="shared" si="3"/>
        <v>535.92701208063829</v>
      </c>
      <c r="CJ12" s="9">
        <f t="shared" si="22"/>
        <v>313.59742323146014</v>
      </c>
      <c r="CK12" s="13">
        <f t="shared" si="23"/>
        <v>0.32956029813700305</v>
      </c>
      <c r="CL12" s="13">
        <f t="shared" si="24"/>
        <v>0.19284204372144145</v>
      </c>
      <c r="CM12" s="9">
        <f t="shared" si="25"/>
        <v>225.0534561229581</v>
      </c>
      <c r="CO12" s="7" t="str">
        <f t="shared" si="26"/>
        <v>2040_1</v>
      </c>
      <c r="CP12" s="28">
        <f>管理者入力シート!B11</f>
        <v>2040</v>
      </c>
      <c r="CQ12" s="3" t="s">
        <v>21</v>
      </c>
      <c r="CR12" s="9">
        <f>DT13*$AK$13+将来予測シート②!$G17</f>
        <v>73.47952078824882</v>
      </c>
      <c r="CS12" s="9">
        <f>IF(管理者入力シート!$B$14=1,CR9*管理者用人口入力シート!AM$3,IF(管理者入力シート!$B$14=2,CR9*管理者用人口入力シート!AM$7))+将来予測シート②!$G18</f>
        <v>88.611861932716138</v>
      </c>
      <c r="CT12" s="9">
        <f>IF(管理者入力シート!$B$14=1,CS9*管理者用人口入力シート!AN$3,IF(管理者入力シート!$B$14=2,CS9*管理者用人口入力シート!AN$7))+将来予測シート②!$G19</f>
        <v>103.71107651939946</v>
      </c>
      <c r="CU12" s="9">
        <f>IF(管理者入力シート!$B$14=1,CT9*管理者用人口入力シート!AO$3,IF(管理者入力シート!$B$14=2,CT9*管理者用人口入力シート!AO$7))+将来予測シート②!$G20</f>
        <v>87.353412937704732</v>
      </c>
      <c r="CV12" s="9">
        <f>IF(管理者入力シート!$B$14=1,CU9*管理者用人口入力シート!AP$3,IF(管理者入力シート!$B$14=2,CU9*管理者用人口入力シート!AP$7))+将来予測シート②!$G21</f>
        <v>62.292397487618828</v>
      </c>
      <c r="CW12" s="9">
        <f>IF(管理者入力シート!$B$14=1,CV9*管理者用人口入力シート!AQ$3,IF(管理者入力シート!$B$14=2,CV9*管理者用人口入力シート!AQ$7))+将来予測シート②!$G22</f>
        <v>50.400124586856023</v>
      </c>
      <c r="CX12" s="9">
        <f>IF(管理者入力シート!$B$14=1,CW9*管理者用人口入力シート!AR$3,IF(管理者入力シート!$B$14=2,CW9*管理者用人口入力シート!AR$7))+将来予測シート②!$G23</f>
        <v>58.12802294853671</v>
      </c>
      <c r="CY12" s="9">
        <f>IF(管理者入力シート!$B$14=1,CX9*管理者用人口入力シート!AS$3,IF(管理者入力シート!$B$14=2,CX9*管理者用人口入力シート!AS$7))+将来予測シート②!$G24</f>
        <v>61.682852540617191</v>
      </c>
      <c r="CZ12" s="9">
        <f>IF(管理者入力シート!$B$14=1,CY9*管理者用人口入力シート!AT$3,IF(管理者入力シート!$B$14=2,CY9*管理者用人口入力シート!AT$7))+将来予測シート②!$G25</f>
        <v>91.314721490437876</v>
      </c>
      <c r="DA12" s="9">
        <f>IF(管理者入力シート!$B$14=1,CZ9*管理者用人口入力シート!AU$3,IF(管理者入力シート!$B$14=2,CZ9*管理者用人口入力シート!AU$7))+将来予測シート②!$G26</f>
        <v>93.060750466697556</v>
      </c>
      <c r="DB12" s="9">
        <f>IF(管理者入力シート!$B$14=1,DA9*管理者用人口入力シート!AV$3,IF(管理者入力シート!$B$14=2,DA9*管理者用人口入力シート!AV$7))+将来予測シート②!$G27</f>
        <v>110.20326820958428</v>
      </c>
      <c r="DC12" s="9">
        <f>IF(管理者入力シート!$B$14=1,DB9*管理者用人口入力シート!AW$3,IF(管理者入力シート!$B$14=2,DB9*管理者用人口入力シート!AW$7))+将来予測シート②!$G28</f>
        <v>115.00907091571408</v>
      </c>
      <c r="DD12" s="9">
        <f>IF(管理者入力シート!$B$14=1,DC9*管理者用人口入力シート!AX$3,IF(管理者入力シート!$B$14=2,DC9*管理者用人口入力シート!AX$7))+将来予測シート②!$G29</f>
        <v>116.77525492110101</v>
      </c>
      <c r="DE12" s="9">
        <f>IF(管理者入力シート!$B$14=1,DD9*管理者用人口入力シート!AY$3,IF(管理者入力シート!$B$14=2,DD9*管理者用人口入力シート!AY$7))</f>
        <v>122.64141630819796</v>
      </c>
      <c r="DF12" s="9">
        <f>IF(管理者入力シート!$B$14=1,DE9*管理者用人口入力シート!AZ$3,IF(管理者入力シート!$B$14=2,DE9*管理者用人口入力シート!AZ$7))</f>
        <v>99.688172540980077</v>
      </c>
      <c r="DG12" s="9">
        <f>IF(管理者入力シート!$B$14=1,DF9*管理者用人口入力シート!BA$3,IF(管理者入力シート!$B$14=2,DF9*管理者用人口入力シート!BA$7))</f>
        <v>91.37838629894776</v>
      </c>
      <c r="DH12" s="9">
        <f>IF(管理者入力シート!$B$14=1,DG9*管理者用人口入力シート!BB$3,IF(管理者入力シート!$B$14=2,DG9*管理者用人口入力シート!BB$7))</f>
        <v>102.44554059573768</v>
      </c>
      <c r="DI12" s="9">
        <f>IF(管理者入力シート!$B$14=1,DH9*管理者用人口入力シート!BC$3,IF(管理者入力シート!$B$14=2,DH9*管理者用人口入力シート!BC$7))</f>
        <v>72.451500040707202</v>
      </c>
      <c r="DJ12" s="9">
        <f>IF(管理者入力シート!$B$14=1,DI9*管理者用人口入力シート!BD$3,IF(管理者入力シート!$B$14=2,DI9*管理者用人口入力シート!BD$7))</f>
        <v>31.832457087981503</v>
      </c>
      <c r="DK12" s="9">
        <f>IF(管理者入力シート!$B$14=1,DJ9*管理者用人口入力シート!BE$3,IF(管理者入力シート!$B$14=2,DJ9*管理者用人口入力シート!BE$7))</f>
        <v>12.537057979169481</v>
      </c>
      <c r="DL12" s="9">
        <f>IF(管理者入力シート!$B$14=1,DK9*管理者用人口入力シート!BF$3,IF(管理者入力シート!$B$14=2,DK9*管理者用人口入力シート!BF$7))</f>
        <v>2.9524812289165756</v>
      </c>
      <c r="DM12" s="9">
        <f t="shared" si="69"/>
        <v>1647.9493478258712</v>
      </c>
      <c r="DN12" s="9">
        <f t="shared" si="34"/>
        <v>115.39376307126935</v>
      </c>
      <c r="DO12" s="9">
        <f t="shared" si="35"/>
        <v>58.955113195300726</v>
      </c>
      <c r="DP12" s="9">
        <f t="shared" si="6"/>
        <v>535.92701208063829</v>
      </c>
      <c r="DQ12" s="9">
        <f t="shared" si="36"/>
        <v>313.59742323146014</v>
      </c>
      <c r="DR12" s="13">
        <f t="shared" si="37"/>
        <v>0.3252084251179706</v>
      </c>
      <c r="DS12" s="13">
        <f t="shared" si="38"/>
        <v>0.19029554739967414</v>
      </c>
      <c r="DT12" s="9">
        <f t="shared" si="70"/>
        <v>232.50339756362877</v>
      </c>
      <c r="DV12" s="211"/>
      <c r="DX12" s="28">
        <f>管理者入力シート!B11</f>
        <v>2040</v>
      </c>
      <c r="DY12" s="3" t="s">
        <v>21</v>
      </c>
      <c r="DZ12" s="9">
        <f>FB13*$AK$13</f>
        <v>122.36680858872529</v>
      </c>
      <c r="EA12" s="129">
        <f>IF(管理者入力シート!$B$14=1,DZ9*管理者用人口入力シート!AM$3,IF(管理者入力シート!$B$14=2,DZ9*管理者用人口入力シート!AM$7))</f>
        <v>142.43025833438068</v>
      </c>
      <c r="EB12" s="9">
        <f>IF(管理者入力シート!$B$14=1,EA9*管理者用人口入力シート!AN$3,IF(管理者入力シート!$B$14=2,EA9*管理者用人口入力シート!AN$7))</f>
        <v>149.07626146964648</v>
      </c>
      <c r="EC12" s="9">
        <f>IF(管理者入力シート!$B$14=1,EB9*管理者用人口入力シート!AO$3,IF(管理者入力シート!$B$14=2,EB9*管理者用人口入力シート!AO$7))</f>
        <v>85.668532254136963</v>
      </c>
      <c r="ED12" s="9">
        <f>IF(管理者入力シート!$B$14=1,EC9*管理者用人口入力シート!AP$3,IF(管理者入力シート!$B$14=2,EC9*管理者用人口入力シート!AP$7))</f>
        <v>61.762251132057408</v>
      </c>
      <c r="EE12" s="9">
        <f>IF(管理者入力シート!$B$14=1,ED9*管理者用人口入力シート!AQ$3,IF(管理者入力シート!$B$14=2,ED9*管理者用人口入力シート!AQ$7))+DX1</f>
        <v>74.876338372481243</v>
      </c>
      <c r="EF12" s="9">
        <f>IF(管理者入力シート!$B$14=1,EE9*管理者用人口入力シート!AR$3,IF(管理者入力シート!$B$14=2,EE9*管理者用人口入力シート!AR$7))+DX1</f>
        <v>112.32892974153906</v>
      </c>
      <c r="EG12" s="9">
        <f>IF(管理者入力シート!$B$14=1,EF9*管理者用人口入力シート!AS$3,IF(管理者入力シート!$B$14=2,EF9*管理者用人口入力シート!AS$7))+DX1</f>
        <v>143.97630418807861</v>
      </c>
      <c r="EH12" s="9">
        <f>IF(管理者入力シート!$B$14=1,EG9*管理者用人口入力シート!AT$3,IF(管理者入力シート!$B$14=2,EG9*管理者用人口入力シート!AT$7))</f>
        <v>175.78078516365099</v>
      </c>
      <c r="EI12" s="9">
        <f>IF(管理者入力シート!$B$14=1,EH9*管理者用人口入力シート!AU$3,IF(管理者入力シート!$B$14=2,EH9*管理者用人口入力シート!AU$7))</f>
        <v>153.1666475472235</v>
      </c>
      <c r="EJ12" s="9">
        <f>IF(管理者入力シート!$B$14=1,EI9*管理者用人口入力シート!AV$3,IF(管理者入力シート!$B$14=2,EI9*管理者用人口入力シート!AV$7))</f>
        <v>140.24108799494522</v>
      </c>
      <c r="EK12" s="9">
        <f>IF(管理者入力シート!$B$14=1,EJ9*管理者用人口入力シート!AW$3,IF(管理者入力シート!$B$14=2,EJ9*管理者用人口入力シート!AW$7))</f>
        <v>115.00907091571408</v>
      </c>
      <c r="EL12" s="9">
        <f>IF(管理者入力シート!$B$14=1,EK9*管理者用人口入力シート!AX$3,IF(管理者入力シート!$B$14=2,EK9*管理者用人口入力シート!AX$7))</f>
        <v>116.77525492110101</v>
      </c>
      <c r="EM12" s="9">
        <f>IF(管理者入力シート!$B$14=1,EL9*管理者用人口入力シート!AY$3,IF(管理者入力シート!$B$14=2,EL9*管理者用人口入力シート!AY$7))</f>
        <v>122.64141630819796</v>
      </c>
      <c r="EN12" s="9">
        <f>IF(管理者入力シート!$B$14=1,EM9*管理者用人口入力シート!AZ$3,IF(管理者入力シート!$B$14=2,EM9*管理者用人口入力シート!AZ$7))</f>
        <v>99.688172540980077</v>
      </c>
      <c r="EO12" s="9">
        <f>IF(管理者入力シート!$B$14=1,EN9*管理者用人口入力シート!BA$3,IF(管理者入力シート!$B$14=2,EN9*管理者用人口入力シート!BA$7))</f>
        <v>91.37838629894776</v>
      </c>
      <c r="EP12" s="9">
        <f>IF(管理者入力シート!$B$14=1,EO9*管理者用人口入力シート!BB$3,IF(管理者入力シート!$B$14=2,EO9*管理者用人口入力シート!BB$7))</f>
        <v>102.44554059573768</v>
      </c>
      <c r="EQ12" s="9">
        <f>IF(管理者入力シート!$B$14=1,EP9*管理者用人口入力シート!BC$3,IF(管理者入力シート!$B$14=2,EP9*管理者用人口入力シート!BC$7))</f>
        <v>72.451500040707202</v>
      </c>
      <c r="ER12" s="9">
        <f>IF(管理者入力シート!$B$14=1,EQ9*管理者用人口入力シート!BD$3,IF(管理者入力シート!$B$14=2,EQ9*管理者用人口入力シート!BD$7))</f>
        <v>31.832457087981503</v>
      </c>
      <c r="ES12" s="9">
        <f>IF(管理者入力シート!$B$14=1,ER9*管理者用人口入力シート!BE$3,IF(管理者入力シート!$B$14=2,ER9*管理者用人口入力シート!BE$7))</f>
        <v>12.537057979169481</v>
      </c>
      <c r="ET12" s="9">
        <f>IF(管理者入力シート!$B$14=1,ES9*管理者用人口入力シート!BF$3,IF(管理者入力シート!$B$14=2,ES9*管理者用人口入力シート!BF$7))</f>
        <v>2.9524812289165756</v>
      </c>
      <c r="EU12" s="9">
        <f t="shared" si="71"/>
        <v>2129.3855427043181</v>
      </c>
      <c r="EV12" s="9">
        <f t="shared" si="41"/>
        <v>174.90391188241631</v>
      </c>
      <c r="EW12" s="9">
        <f t="shared" si="42"/>
        <v>76.764211038685985</v>
      </c>
      <c r="EX12" s="9">
        <f t="shared" si="10"/>
        <v>535.92701208063829</v>
      </c>
      <c r="EY12" s="9">
        <f t="shared" si="43"/>
        <v>313.59742323146014</v>
      </c>
      <c r="EZ12" s="13">
        <f t="shared" si="44"/>
        <v>0.25168153034420032</v>
      </c>
      <c r="FA12" s="13">
        <f t="shared" si="45"/>
        <v>0.14727132167582563</v>
      </c>
      <c r="FB12" s="9">
        <f t="shared" si="72"/>
        <v>392.94382343415634</v>
      </c>
    </row>
    <row r="13" spans="1:158" x14ac:dyDescent="0.15">
      <c r="A13" s="7" t="str">
        <f t="shared" si="11"/>
        <v>2020_2</v>
      </c>
      <c r="B13" s="29">
        <v>2020</v>
      </c>
      <c r="C13" s="4" t="s">
        <v>22</v>
      </c>
      <c r="D13" s="10">
        <v>73</v>
      </c>
      <c r="E13" s="10">
        <v>101</v>
      </c>
      <c r="F13" s="10">
        <v>88</v>
      </c>
      <c r="G13" s="10">
        <v>103</v>
      </c>
      <c r="H13" s="10">
        <v>65</v>
      </c>
      <c r="I13" s="10">
        <v>84</v>
      </c>
      <c r="J13" s="10">
        <v>82</v>
      </c>
      <c r="K13" s="10">
        <v>101</v>
      </c>
      <c r="L13" s="10">
        <v>115</v>
      </c>
      <c r="M13" s="10">
        <v>141</v>
      </c>
      <c r="N13" s="10">
        <v>140</v>
      </c>
      <c r="O13" s="10">
        <v>114</v>
      </c>
      <c r="P13" s="10">
        <v>153</v>
      </c>
      <c r="Q13" s="10">
        <v>208</v>
      </c>
      <c r="R13" s="10">
        <v>238</v>
      </c>
      <c r="S13" s="10">
        <v>163</v>
      </c>
      <c r="T13" s="10">
        <v>152</v>
      </c>
      <c r="U13" s="10">
        <v>157</v>
      </c>
      <c r="V13" s="10">
        <v>76</v>
      </c>
      <c r="W13" s="10">
        <v>35</v>
      </c>
      <c r="X13" s="10">
        <v>3</v>
      </c>
      <c r="Y13" s="10">
        <f t="shared" si="177"/>
        <v>2392</v>
      </c>
      <c r="Z13" s="10">
        <f t="shared" ref="Z13:Z14" si="179">E13*3/5+F13*3/5</f>
        <v>113.4</v>
      </c>
      <c r="AA13" s="10">
        <f t="shared" ref="AA13:AA14" si="180">F13*2/5+G13*1/5</f>
        <v>55.800000000000004</v>
      </c>
      <c r="AB13" s="10">
        <f t="shared" si="178"/>
        <v>1032</v>
      </c>
      <c r="AC13" s="10">
        <f t="shared" ref="AC13:AC14" si="181">SUM(S13:X13)</f>
        <v>586</v>
      </c>
      <c r="AD13" s="14">
        <f t="shared" ref="AD13:AD14" si="182">AB13/Y13</f>
        <v>0.43143812709030099</v>
      </c>
      <c r="AE13" s="14">
        <f t="shared" ref="AE13:AE14" si="183">AC13/Y13</f>
        <v>0.24498327759197325</v>
      </c>
      <c r="AF13" s="10">
        <f t="shared" ref="AF13:AF14" si="184">SUM(H13:K13)</f>
        <v>332</v>
      </c>
      <c r="AI13" s="60" t="s">
        <v>47</v>
      </c>
      <c r="AJ13" s="1" t="s">
        <v>21</v>
      </c>
      <c r="AK13" s="8">
        <f>VLOOKUP(AK12&amp;"_1",A:D,4,FALSE)/VLOOKUP(AK12&amp;"_2",A:AF,32,FALSE)</f>
        <v>0.30480842753518361</v>
      </c>
      <c r="AL13" s="63"/>
      <c r="BH13" s="7" t="str">
        <f t="shared" si="19"/>
        <v>2040_2</v>
      </c>
      <c r="BI13" s="29">
        <f>BI12</f>
        <v>2040</v>
      </c>
      <c r="BJ13" s="4" t="s">
        <v>22</v>
      </c>
      <c r="BK13" s="10">
        <f>CM13*$AK$14</f>
        <v>50.618719352865611</v>
      </c>
      <c r="BL13" s="10">
        <f>IF(管理者入力シート!$B$14=1,BK10*管理者用人口入力シート!AM$4,IF(管理者入力シート!$B$14=2,BK10*管理者用人口入力シート!AM$8))</f>
        <v>61.024435719691894</v>
      </c>
      <c r="BM13" s="10">
        <f>IF(管理者入力シート!$B$14=1,BL10*管理者用人口入力シート!AN$4,IF(管理者入力シート!$B$14=2,BL10*管理者用人口入力シート!AN$8))</f>
        <v>67.634847313692234</v>
      </c>
      <c r="BN13" s="10">
        <f>IF(管理者入力シート!$B$14=1,BM10*管理者用人口入力シート!AO$4,IF(管理者入力シート!$B$14=2,BM10*管理者用人口入力シート!AO$8))</f>
        <v>64.561017938485179</v>
      </c>
      <c r="BO13" s="10">
        <f>IF(管理者入力シート!$B$14=1,BN10*管理者用人口入力シート!AP$4,IF(管理者入力シート!$B$14=2,BN10*管理者用人口入力シート!AP$8))</f>
        <v>42.381483986271419</v>
      </c>
      <c r="BP13" s="10">
        <f>IF(管理者入力シート!$B$14=1,BO10*管理者用人口入力シート!AQ$4,IF(管理者入力シート!$B$14=2,BO10*管理者用人口入力シート!AQ$8))</f>
        <v>56.578118133667417</v>
      </c>
      <c r="BQ13" s="10">
        <f>IF(管理者入力シート!$B$14=1,BP10*管理者用人口入力シート!AR$4,IF(管理者入力シート!$B$14=2,BP10*管理者用人口入力シート!AR$8))</f>
        <v>52.868842330115449</v>
      </c>
      <c r="BR13" s="10">
        <f>IF(管理者入力シート!$B$14=1,BQ10*管理者用人口入力シート!AS$4,IF(管理者入力シート!$B$14=2,BQ10*管理者用人口入力シート!AS$8))</f>
        <v>78.382717538320833</v>
      </c>
      <c r="BS13" s="10">
        <f>IF(管理者入力シート!$B$14=1,BR10*管理者用人口入力シート!AT$4,IF(管理者入力シート!$B$14=2,BR10*管理者用人口入力シート!AT$8))</f>
        <v>77.75447636942171</v>
      </c>
      <c r="BT13" s="10">
        <f>IF(管理者入力シート!$B$14=1,BS10*管理者用人口入力シート!AU$4,IF(管理者入力シート!$B$14=2,BS10*管理者用人口入力シート!AU$8))</f>
        <v>105.93755704286606</v>
      </c>
      <c r="BU13" s="10">
        <f>IF(管理者入力シート!$B$14=1,BT10*管理者用人口入力シート!AV$4,IF(管理者入力シート!$B$14=2,BT10*管理者用人口入力シート!AV$8))</f>
        <v>98.870027995622365</v>
      </c>
      <c r="BV13" s="10">
        <f>IF(管理者入力シート!$B$14=1,BU10*管理者用人口入力シート!AW$4,IF(管理者入力シート!$B$14=2,BU10*管理者用人口入力シート!AW$8))</f>
        <v>105.89684527982251</v>
      </c>
      <c r="BW13" s="10">
        <f>IF(管理者入力シート!$B$14=1,BV10*管理者用人口入力シート!AX$4,IF(管理者入力シート!$B$14=2,BV10*管理者用人口入力シート!AX$8))</f>
        <v>126.38759468724835</v>
      </c>
      <c r="BX13" s="10">
        <f>IF(管理者入力シート!$B$14=1,BW10*管理者用人口入力シート!AY$4,IF(管理者入力シート!$B$14=2,BW10*管理者用人口入力シート!AY$8))</f>
        <v>139.72477318567286</v>
      </c>
      <c r="BY13" s="10">
        <f>IF(管理者入力シート!$B$14=1,BX10*管理者用人口入力シート!AZ$4,IF(管理者入力シート!$B$14=2,BX10*管理者用人口入力シート!AZ$8))</f>
        <v>132.30841510896454</v>
      </c>
      <c r="BZ13" s="10">
        <f>IF(管理者入力シート!$B$14=1,BY10*管理者用人口入力シート!BA$4,IF(管理者入力シート!$B$14=2,BY10*管理者用人口入力シート!BA$8))</f>
        <v>105.7055606819783</v>
      </c>
      <c r="CA13" s="10">
        <f>IF(管理者入力シート!$B$14=1,BZ10*管理者用人口入力シート!BB$4,IF(管理者入力シート!$B$14=2,BZ10*管理者用人口入力シート!BB$8))</f>
        <v>123.89202060810311</v>
      </c>
      <c r="CB13" s="10">
        <f>IF(管理者入力シート!$B$14=1,CA10*管理者用人口入力シート!BC$4,IF(管理者入力シート!$B$14=2,CA10*管理者用人口入力シート!BC$8))</f>
        <v>138.10809368176456</v>
      </c>
      <c r="CC13" s="10">
        <f>IF(管理者入力シート!$B$14=1,CB10*管理者用人口入力シート!BD$4,IF(管理者入力シート!$B$14=2,CB10*管理者用人口入力シート!BD$8))</f>
        <v>96.793839775095691</v>
      </c>
      <c r="CD13" s="10">
        <f>IF(管理者入力シート!$B$14=1,CC10*管理者用人口入力シート!BE$4,IF(管理者入力シート!$B$14=2,CC10*管理者用人口入力シート!BE$8))</f>
        <v>31.370634707329277</v>
      </c>
      <c r="CE13" s="10">
        <f>IF(管理者入力シート!$B$14=1,CD10*管理者用人口入力シート!BF$4,IF(管理者入力シート!$B$14=2,CD10*管理者用人口入力シート!BF$8))</f>
        <v>6.6118977273617903</v>
      </c>
      <c r="CF13" s="10">
        <f t="shared" si="2"/>
        <v>1763.4119191643613</v>
      </c>
      <c r="CG13" s="10">
        <f t="shared" si="20"/>
        <v>77.195569820030471</v>
      </c>
      <c r="CH13" s="10">
        <f t="shared" si="21"/>
        <v>39.966142513173928</v>
      </c>
      <c r="CI13" s="10">
        <f t="shared" si="3"/>
        <v>774.51523547627005</v>
      </c>
      <c r="CJ13" s="10">
        <f t="shared" si="22"/>
        <v>502.48204718163271</v>
      </c>
      <c r="CK13" s="14">
        <f t="shared" si="23"/>
        <v>0.43921401860734516</v>
      </c>
      <c r="CL13" s="14">
        <f t="shared" si="24"/>
        <v>0.28494876422279541</v>
      </c>
      <c r="CM13" s="10">
        <f t="shared" si="25"/>
        <v>230.21116198837512</v>
      </c>
      <c r="CO13" s="7" t="str">
        <f t="shared" si="26"/>
        <v>2040_2</v>
      </c>
      <c r="CP13" s="29">
        <f>CP12</f>
        <v>2040</v>
      </c>
      <c r="CQ13" s="4" t="s">
        <v>22</v>
      </c>
      <c r="CR13" s="10">
        <f>DT13*$AK$14+将来予測シート②!$H17</f>
        <v>53.28451926313965</v>
      </c>
      <c r="CS13" s="10">
        <f>IF(管理者入力シート!$B$14=1,CR10*管理者用人口入力シート!AM$4,IF(管理者入力シート!$B$14=2,CR10*管理者用人口入力シート!AM$8))+将来予測シート②!$H18</f>
        <v>63.793410202807721</v>
      </c>
      <c r="CT13" s="10">
        <f>IF(管理者入力シート!$B$14=1,CS10*管理者用人口入力シート!AN$4,IF(管理者入力シート!$B$14=2,CS10*管理者用人口入力シート!AN$8))+将来予測シート②!$H19</f>
        <v>70.690306304617778</v>
      </c>
      <c r="CU13" s="10">
        <f>IF(管理者入力シート!$B$14=1,CT10*管理者用人口入力シート!AO$4,IF(管理者入力シート!$B$14=2,CT10*管理者用人口入力シート!AO$8))+将来予測シート②!$H20</f>
        <v>66.376664797116973</v>
      </c>
      <c r="CV13" s="10">
        <f>IF(管理者入力シート!$B$14=1,CU10*管理者用人口入力シート!AP$4,IF(管理者入力シート!$B$14=2,CU10*管理者用人口入力シート!AP$8))+将来予測シート②!$H21</f>
        <v>42.9199643304513</v>
      </c>
      <c r="CW13" s="10">
        <f>IF(管理者入力シート!$B$14=1,CV10*管理者用人口入力シート!AQ$4,IF(管理者入力シート!$B$14=2,CV10*管理者用人口入力シート!AQ$8))+将来予測シート②!$H22</f>
        <v>59.144230578441302</v>
      </c>
      <c r="CX13" s="10">
        <f>IF(管理者入力シート!$B$14=1,CW10*管理者用人口入力シート!AR$4,IF(管理者入力シート!$B$14=2,CW10*管理者用人口入力シート!AR$8))+将来予測シート②!$H23</f>
        <v>54.991326316298839</v>
      </c>
      <c r="CY13" s="10">
        <f>IF(管理者入力シート!$B$14=1,CX10*管理者用人口入力シート!AS$4,IF(管理者入力シート!$B$14=2,CX10*管理者用人口入力シート!AS$8))+将来予測シート②!$H24</f>
        <v>80.731607478402594</v>
      </c>
      <c r="CZ13" s="10">
        <f>IF(管理者入力シート!$B$14=1,CY10*管理者用人口入力シート!AT$4,IF(管理者入力シート!$B$14=2,CY10*管理者用人口入力シート!AT$8))+将来予測シート②!$H25</f>
        <v>81.030145891831225</v>
      </c>
      <c r="DA13" s="10">
        <f>IF(管理者入力シート!$B$14=1,CZ10*管理者用人口入力シート!AU$4,IF(管理者入力シート!$B$14=2,CZ10*管理者用人口入力シート!AU$8))+将来予測シート②!$H26</f>
        <v>107.04594416230344</v>
      </c>
      <c r="DB13" s="10">
        <f>IF(管理者入力シート!$B$14=1,DA10*管理者用人口入力シート!AV$4,IF(管理者入力シート!$B$14=2,DA10*管理者用人口入力シート!AV$8))+将来予測シート②!$H27</f>
        <v>99.994596804867442</v>
      </c>
      <c r="DC13" s="10">
        <f>IF(管理者入力シート!$B$14=1,DB10*管理者用人口入力シート!AW$4,IF(管理者入力シート!$B$14=2,DB10*管理者用人口入力シート!AW$8))+将来予測シート②!$H28</f>
        <v>106.9790642027352</v>
      </c>
      <c r="DD13" s="10">
        <f>IF(管理者入力シート!$B$14=1,DC10*管理者用人口入力シート!AX$4,IF(管理者入力シート!$B$14=2,DC10*管理者用人口入力シート!AX$8))+将来予測シート②!$H29</f>
        <v>126.38759468724835</v>
      </c>
      <c r="DE13" s="10">
        <f>IF(管理者入力シート!$B$14=1,DD10*管理者用人口入力シート!AY$4,IF(管理者入力シート!$B$14=2,DD10*管理者用人口入力シート!AY$8))</f>
        <v>139.72477318567286</v>
      </c>
      <c r="DF13" s="10">
        <f>IF(管理者入力シート!$B$14=1,DE10*管理者用人口入力シート!AZ$4,IF(管理者入力シート!$B$14=2,DE10*管理者用人口入力シート!AZ$8))</f>
        <v>132.30841510896454</v>
      </c>
      <c r="DG13" s="10">
        <f>IF(管理者入力シート!$B$14=1,DF10*管理者用人口入力シート!BA$4,IF(管理者入力シート!$B$14=2,DF10*管理者用人口入力シート!BA$8))</f>
        <v>105.7055606819783</v>
      </c>
      <c r="DH13" s="10">
        <f>IF(管理者入力シート!$B$14=1,DG10*管理者用人口入力シート!BB$4,IF(管理者入力シート!$B$14=2,DG10*管理者用人口入力シート!BB$8))</f>
        <v>123.89202060810311</v>
      </c>
      <c r="DI13" s="10">
        <f>IF(管理者入力シート!$B$14=1,DH10*管理者用人口入力シート!BC$4,IF(管理者入力シート!$B$14=2,DH10*管理者用人口入力シート!BC$8))</f>
        <v>138.10809368176456</v>
      </c>
      <c r="DJ13" s="10">
        <f>IF(管理者入力シート!$B$14=1,DI10*管理者用人口入力シート!BD$4,IF(管理者入力シート!$B$14=2,DI10*管理者用人口入力シート!BD$8))</f>
        <v>96.793839775095691</v>
      </c>
      <c r="DK13" s="10">
        <f>IF(管理者入力シート!$B$14=1,DJ10*管理者用人口入力シート!BE$4,IF(管理者入力シート!$B$14=2,DJ10*管理者用人口入力シート!BE$8))</f>
        <v>31.370634707329277</v>
      </c>
      <c r="DL13" s="10">
        <f>IF(管理者入力シート!$B$14=1,DK10*管理者用人口入力シート!BF$4,IF(管理者入力シート!$B$14=2,DK10*管理者用人口入力シート!BF$8))</f>
        <v>6.6118977273617903</v>
      </c>
      <c r="DM13" s="10">
        <f t="shared" si="69"/>
        <v>1787.8846104965321</v>
      </c>
      <c r="DN13" s="10">
        <f t="shared" si="34"/>
        <v>80.690229904455308</v>
      </c>
      <c r="DO13" s="10">
        <f t="shared" si="35"/>
        <v>41.551455481270509</v>
      </c>
      <c r="DP13" s="10">
        <f t="shared" si="6"/>
        <v>774.51523547627005</v>
      </c>
      <c r="DQ13" s="10">
        <f t="shared" si="36"/>
        <v>502.48204718163271</v>
      </c>
      <c r="DR13" s="14">
        <f t="shared" si="37"/>
        <v>0.43320202597480345</v>
      </c>
      <c r="DS13" s="14">
        <f t="shared" si="38"/>
        <v>0.28104836533163241</v>
      </c>
      <c r="DT13" s="10">
        <f t="shared" si="70"/>
        <v>237.78712870359405</v>
      </c>
      <c r="DV13" s="62"/>
      <c r="DX13" s="29">
        <f>DX12</f>
        <v>2040</v>
      </c>
      <c r="DY13" s="4" t="s">
        <v>22</v>
      </c>
      <c r="DZ13" s="10">
        <f>FB13*$AK$14</f>
        <v>88.271689592398999</v>
      </c>
      <c r="EA13" s="10">
        <f>IF(管理者入力シート!$B$14=1,DZ10*管理者用人口入力シート!AM$4,IF(管理者入力シート!$B$14=2,DZ10*管理者用人口入力シート!AM$8))</f>
        <v>102.0503494931607</v>
      </c>
      <c r="EB13" s="10">
        <f>IF(管理者入力シート!$B$14=1,EA10*管理者用人口入力シート!AN$4,IF(管理者入力シート!$B$14=2,EA10*管理者用人口入力シート!AN$8))</f>
        <v>100.71344707096083</v>
      </c>
      <c r="EC13" s="10">
        <f>IF(管理者入力シート!$B$14=1,EB10*管理者用人口入力シート!AO$4,IF(管理者入力シート!$B$14=2,EB10*管理者用人口入力シート!AO$8))</f>
        <v>64.561017938485179</v>
      </c>
      <c r="ED13" s="10">
        <f>IF(管理者入力シート!$B$14=1,EC10*管理者用人口入力シート!AP$4,IF(管理者入力シート!$B$14=2,EC10*管理者用人口入力シート!AP$8))</f>
        <v>42.381483986271419</v>
      </c>
      <c r="EE13" s="10">
        <f>IF(管理者入力シート!$B$14=1,ED10*管理者用人口入力シート!AQ$4,IF(管理者入力シート!$B$14=2,ED10*管理者用人口入力シート!AQ$8))+DX1</f>
        <v>83.578118133667417</v>
      </c>
      <c r="EF13" s="10">
        <f>IF(管理者入力シート!$B$14=1,EE10*管理者用人口入力シート!AR$4,IF(管理者入力シート!$B$14=2,EE10*管理者用人口入力シート!AR$8))+DX1</f>
        <v>108.52237614359123</v>
      </c>
      <c r="EG13" s="10">
        <f>IF(管理者入力シート!$B$14=1,EF10*管理者用人口入力シート!AS$4,IF(管理者入力シート!$B$14=2,EF10*管理者用人口入力シート!AS$8))+DX1</f>
        <v>166.97282919779138</v>
      </c>
      <c r="EH13" s="10">
        <f>IF(管理者入力シート!$B$14=1,EG10*管理者用人口入力シート!AT$4,IF(管理者入力シート!$B$14=2,EG10*管理者用人口入力シート!AT$8))</f>
        <v>163.58302612398992</v>
      </c>
      <c r="EI13" s="10">
        <f>IF(管理者入力シート!$B$14=1,EH10*管理者用人口入力シート!AU$4,IF(管理者入力シート!$B$14=2,EH10*管理者用人口入力シート!AU$8))</f>
        <v>167.01745844989853</v>
      </c>
      <c r="EJ13" s="10">
        <f>IF(管理者入力シート!$B$14=1,EI10*管理者用人口入力シート!AV$4,IF(管理者入力シート!$B$14=2,EI10*管理者用人口入力シート!AV$8))</f>
        <v>128.2868886485237</v>
      </c>
      <c r="EK13" s="10">
        <f>IF(管理者入力シート!$B$14=1,EJ10*管理者用人口入力シート!AW$4,IF(管理者入力シート!$B$14=2,EJ10*管理者用人口入力シート!AW$8))</f>
        <v>105.89684527982251</v>
      </c>
      <c r="EL13" s="10">
        <f>IF(管理者入力シート!$B$14=1,EK10*管理者用人口入力シート!AX$4,IF(管理者入力シート!$B$14=2,EK10*管理者用人口入力シート!AX$8))</f>
        <v>126.38759468724835</v>
      </c>
      <c r="EM13" s="10">
        <f>IF(管理者入力シート!$B$14=1,EL10*管理者用人口入力シート!AY$4,IF(管理者入力シート!$B$14=2,EL10*管理者用人口入力シート!AY$8))</f>
        <v>139.72477318567286</v>
      </c>
      <c r="EN13" s="10">
        <f>IF(管理者入力シート!$B$14=1,EM10*管理者用人口入力シート!AZ$4,IF(管理者入力シート!$B$14=2,EM10*管理者用人口入力シート!AZ$8))</f>
        <v>132.30841510896454</v>
      </c>
      <c r="EO13" s="10">
        <f>IF(管理者入力シート!$B$14=1,EN10*管理者用人口入力シート!BA$4,IF(管理者入力シート!$B$14=2,EN10*管理者用人口入力シート!BA$8))</f>
        <v>105.7055606819783</v>
      </c>
      <c r="EP13" s="10">
        <f>IF(管理者入力シート!$B$14=1,EO10*管理者用人口入力シート!BB$4,IF(管理者入力シート!$B$14=2,EO10*管理者用人口入力シート!BB$8))</f>
        <v>123.89202060810311</v>
      </c>
      <c r="EQ13" s="10">
        <f>IF(管理者入力シート!$B$14=1,EP10*管理者用人口入力シート!BC$4,IF(管理者入力シート!$B$14=2,EP10*管理者用人口入力シート!BC$8))</f>
        <v>138.10809368176456</v>
      </c>
      <c r="ER13" s="10">
        <f>IF(管理者入力シート!$B$14=1,EQ10*管理者用人口入力シート!BD$4,IF(管理者入力シート!$B$14=2,EQ10*管理者用人口入力シート!BD$8))</f>
        <v>96.793839775095691</v>
      </c>
      <c r="ES13" s="10">
        <f>IF(管理者入力シート!$B$14=1,ER10*管理者用人口入力シート!BE$4,IF(管理者入力シート!$B$14=2,ER10*管理者用人口入力シート!BE$8))</f>
        <v>31.370634707329277</v>
      </c>
      <c r="ET13" s="10">
        <f>IF(管理者入力シート!$B$14=1,ES10*管理者用人口入力シート!BF$4,IF(管理者入力シート!$B$14=2,ES10*管理者用人口入力シート!BF$8))</f>
        <v>6.6118977273617903</v>
      </c>
      <c r="EU13" s="10">
        <f t="shared" si="71"/>
        <v>2222.7383602220807</v>
      </c>
      <c r="EV13" s="10">
        <f t="shared" si="41"/>
        <v>121.65827793847292</v>
      </c>
      <c r="EW13" s="10">
        <f t="shared" si="42"/>
        <v>53.197582416081367</v>
      </c>
      <c r="EX13" s="10">
        <f t="shared" si="10"/>
        <v>774.51523547627005</v>
      </c>
      <c r="EY13" s="10">
        <f t="shared" si="43"/>
        <v>502.48204718163271</v>
      </c>
      <c r="EZ13" s="14">
        <f t="shared" si="44"/>
        <v>0.34845092402098365</v>
      </c>
      <c r="FA13" s="14">
        <f t="shared" si="45"/>
        <v>0.2260644150359776</v>
      </c>
      <c r="FB13" s="10">
        <f t="shared" si="72"/>
        <v>401.45480746132148</v>
      </c>
    </row>
    <row r="14" spans="1:158" x14ac:dyDescent="0.15">
      <c r="A14" s="7" t="str">
        <f t="shared" si="11"/>
        <v>2020_3</v>
      </c>
      <c r="B14" s="30">
        <v>2020</v>
      </c>
      <c r="C14" s="5" t="s">
        <v>23</v>
      </c>
      <c r="D14" s="11">
        <v>174.19639794168097</v>
      </c>
      <c r="E14" s="11">
        <v>188.09819897084049</v>
      </c>
      <c r="F14" s="11">
        <v>186.17881646655232</v>
      </c>
      <c r="G14" s="11">
        <v>183.10577472841624</v>
      </c>
      <c r="H14" s="11">
        <v>144.1007718696398</v>
      </c>
      <c r="I14" s="11">
        <v>160.08304745568896</v>
      </c>
      <c r="J14" s="11">
        <v>179.1007718696398</v>
      </c>
      <c r="K14" s="11">
        <v>209.18639222412807</v>
      </c>
      <c r="L14" s="11">
        <v>233.1512292738708</v>
      </c>
      <c r="M14" s="11">
        <v>274.23170383076047</v>
      </c>
      <c r="N14" s="11">
        <v>260.11335048599199</v>
      </c>
      <c r="O14" s="11">
        <v>234.14365351629502</v>
      </c>
      <c r="P14" s="11">
        <v>308.20911949685535</v>
      </c>
      <c r="Q14" s="11">
        <v>389.20654659805604</v>
      </c>
      <c r="R14" s="11">
        <v>415.20654659805604</v>
      </c>
      <c r="S14" s="11">
        <v>312.32489994282446</v>
      </c>
      <c r="T14" s="11">
        <v>264.2015437392796</v>
      </c>
      <c r="U14" s="11">
        <v>228.0756146369354</v>
      </c>
      <c r="V14" s="11">
        <v>105.07804459691252</v>
      </c>
      <c r="W14" s="11">
        <v>42.007575757575758</v>
      </c>
      <c r="X14" s="11">
        <v>5</v>
      </c>
      <c r="Y14" s="11">
        <f t="shared" si="177"/>
        <v>4495</v>
      </c>
      <c r="Z14" s="11">
        <f t="shared" si="179"/>
        <v>224.56620926243568</v>
      </c>
      <c r="AA14" s="11">
        <f t="shared" si="180"/>
        <v>111.09268153230417</v>
      </c>
      <c r="AB14" s="11">
        <f t="shared" si="178"/>
        <v>1761.1007718696399</v>
      </c>
      <c r="AC14" s="11">
        <f t="shared" si="181"/>
        <v>956.68767867352767</v>
      </c>
      <c r="AD14" s="15">
        <f t="shared" si="182"/>
        <v>0.39179105047155505</v>
      </c>
      <c r="AE14" s="15">
        <f t="shared" si="183"/>
        <v>0.21283374386507845</v>
      </c>
      <c r="AF14" s="11">
        <f t="shared" si="184"/>
        <v>692.47098341909657</v>
      </c>
      <c r="AI14" s="43"/>
      <c r="AJ14" s="1" t="s">
        <v>22</v>
      </c>
      <c r="AK14" s="8">
        <f>VLOOKUP(AK12&amp;"_2",A:D,4,FALSE)/VLOOKUP(AK12&amp;"_2",A:AF,32,FALSE)</f>
        <v>0.21987951807228914</v>
      </c>
      <c r="AL14" s="63"/>
      <c r="BH14" s="7" t="str">
        <f t="shared" si="19"/>
        <v>2040_3</v>
      </c>
      <c r="BI14" s="30">
        <f>BI13</f>
        <v>2040</v>
      </c>
      <c r="BJ14" s="5" t="s">
        <v>23</v>
      </c>
      <c r="BK14" s="16">
        <f>BK12+BK13</f>
        <v>120.78902163958966</v>
      </c>
      <c r="BL14" s="16">
        <f t="shared" ref="BL14" si="185">BL12+BL13</f>
        <v>146.19539483383031</v>
      </c>
      <c r="BM14" s="16">
        <f t="shared" ref="BM14" si="186">BM12+BM13</f>
        <v>167.74809411271681</v>
      </c>
      <c r="BN14" s="16">
        <f t="shared" ref="BN14" si="187">BN12+BN13</f>
        <v>150.22955019262213</v>
      </c>
      <c r="BO14" s="16">
        <f t="shared" ref="BO14" si="188">BO12+BO13</f>
        <v>104.14373511832883</v>
      </c>
      <c r="BP14" s="16">
        <f t="shared" ref="BP14" si="189">BP12+BP13</f>
        <v>104.45445650614866</v>
      </c>
      <c r="BQ14" s="16">
        <f t="shared" ref="BQ14" si="190">BQ12+BQ13</f>
        <v>108.82079273521197</v>
      </c>
      <c r="BR14" s="16">
        <f t="shared" ref="BR14" si="191">BR12+BR13</f>
        <v>137.84563375164373</v>
      </c>
      <c r="BS14" s="16">
        <f t="shared" ref="BS14" si="192">BS12+BS13</f>
        <v>166.79065346273069</v>
      </c>
      <c r="BT14" s="16">
        <f t="shared" ref="BT14" si="193">BT12+BT13</f>
        <v>198.99830750956363</v>
      </c>
      <c r="BU14" s="16">
        <f t="shared" ref="BU14" si="194">BU12+BU13</f>
        <v>209.07329620520665</v>
      </c>
      <c r="BV14" s="16">
        <f t="shared" ref="BV14" si="195">BV12+BV13</f>
        <v>220.90591619553658</v>
      </c>
      <c r="BW14" s="16">
        <f t="shared" ref="BW14" si="196">BW12+BW13</f>
        <v>243.16284960834935</v>
      </c>
      <c r="BX14" s="16">
        <f t="shared" ref="BX14" si="197">BX12+BX13</f>
        <v>262.36618949387082</v>
      </c>
      <c r="BY14" s="16">
        <f t="shared" ref="BY14" si="198">BY12+BY13</f>
        <v>231.99658764994462</v>
      </c>
      <c r="BZ14" s="16">
        <f t="shared" ref="BZ14" si="199">BZ12+BZ13</f>
        <v>197.08394698092604</v>
      </c>
      <c r="CA14" s="16">
        <f t="shared" ref="CA14" si="200">CA12+CA13</f>
        <v>226.33756120384078</v>
      </c>
      <c r="CB14" s="16">
        <f t="shared" ref="CB14" si="201">CB12+CB13</f>
        <v>210.55959372247176</v>
      </c>
      <c r="CC14" s="16">
        <f t="shared" ref="CC14" si="202">CC12+CC13</f>
        <v>128.62629686307719</v>
      </c>
      <c r="CD14" s="16">
        <f t="shared" ref="CD14" si="203">CD12+CD13</f>
        <v>43.907692686498756</v>
      </c>
      <c r="CE14" s="16">
        <f t="shared" ref="CE14" si="204">CE12+CE13</f>
        <v>9.5643789562783663</v>
      </c>
      <c r="CF14" s="11">
        <f t="shared" si="2"/>
        <v>3389.5999494283869</v>
      </c>
      <c r="CG14" s="11">
        <f t="shared" si="20"/>
        <v>188.36609336792827</v>
      </c>
      <c r="CH14" s="11">
        <f t="shared" si="21"/>
        <v>97.145147683611157</v>
      </c>
      <c r="CI14" s="11">
        <f t="shared" si="3"/>
        <v>1310.4422475569083</v>
      </c>
      <c r="CJ14" s="11">
        <f t="shared" si="22"/>
        <v>816.07947041309285</v>
      </c>
      <c r="CK14" s="15">
        <f t="shared" si="23"/>
        <v>0.38660675805647737</v>
      </c>
      <c r="CL14" s="15">
        <f t="shared" si="24"/>
        <v>0.24075981903136218</v>
      </c>
      <c r="CM14" s="11">
        <f t="shared" si="25"/>
        <v>455.26461811133322</v>
      </c>
      <c r="CO14" s="7" t="str">
        <f t="shared" si="26"/>
        <v>2040_3</v>
      </c>
      <c r="CP14" s="30">
        <f>CP13</f>
        <v>2040</v>
      </c>
      <c r="CQ14" s="5" t="s">
        <v>23</v>
      </c>
      <c r="CR14" s="16">
        <f>CR12+CR13</f>
        <v>126.76404005138846</v>
      </c>
      <c r="CS14" s="16">
        <f t="shared" ref="CS14" si="205">CS12+CS13</f>
        <v>152.40527213552386</v>
      </c>
      <c r="CT14" s="16">
        <f t="shared" ref="CT14" si="206">CT12+CT13</f>
        <v>174.40138282401722</v>
      </c>
      <c r="CU14" s="16">
        <f t="shared" ref="CU14" si="207">CU12+CU13</f>
        <v>153.73007773482169</v>
      </c>
      <c r="CV14" s="16">
        <f t="shared" ref="CV14" si="208">CV12+CV13</f>
        <v>105.21236181807012</v>
      </c>
      <c r="CW14" s="16">
        <f t="shared" ref="CW14" si="209">CW12+CW13</f>
        <v>109.54435516529733</v>
      </c>
      <c r="CX14" s="16">
        <f t="shared" ref="CX14" si="210">CX12+CX13</f>
        <v>113.11934926483555</v>
      </c>
      <c r="CY14" s="16">
        <f t="shared" ref="CY14" si="211">CY12+CY13</f>
        <v>142.41446001901977</v>
      </c>
      <c r="CZ14" s="16">
        <f t="shared" ref="CZ14" si="212">CZ12+CZ13</f>
        <v>172.34486738226911</v>
      </c>
      <c r="DA14" s="16">
        <f t="shared" ref="DA14" si="213">DA12+DA13</f>
        <v>200.106694629001</v>
      </c>
      <c r="DB14" s="16">
        <f t="shared" ref="DB14" si="214">DB12+DB13</f>
        <v>210.19786501445174</v>
      </c>
      <c r="DC14" s="16">
        <f t="shared" ref="DC14" si="215">DC12+DC13</f>
        <v>221.98813511844929</v>
      </c>
      <c r="DD14" s="16">
        <f t="shared" ref="DD14" si="216">DD12+DD13</f>
        <v>243.16284960834935</v>
      </c>
      <c r="DE14" s="16">
        <f t="shared" ref="DE14" si="217">DE12+DE13</f>
        <v>262.36618949387082</v>
      </c>
      <c r="DF14" s="16">
        <f t="shared" ref="DF14" si="218">DF12+DF13</f>
        <v>231.99658764994462</v>
      </c>
      <c r="DG14" s="16">
        <f t="shared" ref="DG14" si="219">DG12+DG13</f>
        <v>197.08394698092604</v>
      </c>
      <c r="DH14" s="16">
        <f t="shared" ref="DH14" si="220">DH12+DH13</f>
        <v>226.33756120384078</v>
      </c>
      <c r="DI14" s="16">
        <f t="shared" ref="DI14" si="221">DI12+DI13</f>
        <v>210.55959372247176</v>
      </c>
      <c r="DJ14" s="16">
        <f t="shared" ref="DJ14" si="222">DJ12+DJ13</f>
        <v>128.62629686307719</v>
      </c>
      <c r="DK14" s="16">
        <f t="shared" ref="DK14" si="223">DK12+DK13</f>
        <v>43.907692686498756</v>
      </c>
      <c r="DL14" s="16">
        <f t="shared" ref="DL14" si="224">DL12+DL13</f>
        <v>9.5643789562783663</v>
      </c>
      <c r="DM14" s="11">
        <f t="shared" si="69"/>
        <v>3435.8339583224024</v>
      </c>
      <c r="DN14" s="11">
        <f t="shared" si="34"/>
        <v>196.08399297572464</v>
      </c>
      <c r="DO14" s="11">
        <f t="shared" si="35"/>
        <v>100.50656867657122</v>
      </c>
      <c r="DP14" s="11">
        <f t="shared" si="6"/>
        <v>1310.4422475569083</v>
      </c>
      <c r="DQ14" s="11">
        <f t="shared" si="36"/>
        <v>816.07947041309285</v>
      </c>
      <c r="DR14" s="15">
        <f t="shared" si="37"/>
        <v>0.38140441693426635</v>
      </c>
      <c r="DS14" s="15">
        <f t="shared" si="38"/>
        <v>0.23752005490147607</v>
      </c>
      <c r="DT14" s="11">
        <f t="shared" si="70"/>
        <v>470.29052626722279</v>
      </c>
      <c r="DX14" s="30">
        <f>DX13</f>
        <v>2040</v>
      </c>
      <c r="DY14" s="5" t="s">
        <v>23</v>
      </c>
      <c r="DZ14" s="16">
        <f>DZ12+DZ13</f>
        <v>210.63849818112431</v>
      </c>
      <c r="EA14" s="16">
        <f t="shared" ref="EA14" si="225">EA12+EA13</f>
        <v>244.48060782754138</v>
      </c>
      <c r="EB14" s="16">
        <f t="shared" ref="EB14" si="226">EB12+EB13</f>
        <v>249.78970854060731</v>
      </c>
      <c r="EC14" s="16">
        <f t="shared" ref="EC14" si="227">EC12+EC13</f>
        <v>150.22955019262213</v>
      </c>
      <c r="ED14" s="16">
        <f t="shared" ref="ED14" si="228">ED12+ED13</f>
        <v>104.14373511832883</v>
      </c>
      <c r="EE14" s="16">
        <f t="shared" ref="EE14" si="229">EE12+EE13</f>
        <v>158.45445650614866</v>
      </c>
      <c r="EF14" s="16">
        <f t="shared" ref="EF14" si="230">EF12+EF13</f>
        <v>220.85130588513027</v>
      </c>
      <c r="EG14" s="16">
        <f t="shared" ref="EG14" si="231">EG12+EG13</f>
        <v>310.94913338587003</v>
      </c>
      <c r="EH14" s="16">
        <f t="shared" ref="EH14" si="232">EH12+EH13</f>
        <v>339.36381128764094</v>
      </c>
      <c r="EI14" s="16">
        <f t="shared" ref="EI14" si="233">EI12+EI13</f>
        <v>320.18410599712206</v>
      </c>
      <c r="EJ14" s="16">
        <f t="shared" ref="EJ14" si="234">EJ12+EJ13</f>
        <v>268.52797664346895</v>
      </c>
      <c r="EK14" s="16">
        <f t="shared" ref="EK14" si="235">EK12+EK13</f>
        <v>220.90591619553658</v>
      </c>
      <c r="EL14" s="16">
        <f t="shared" ref="EL14" si="236">EL12+EL13</f>
        <v>243.16284960834935</v>
      </c>
      <c r="EM14" s="16">
        <f t="shared" ref="EM14" si="237">EM12+EM13</f>
        <v>262.36618949387082</v>
      </c>
      <c r="EN14" s="16">
        <f t="shared" ref="EN14" si="238">EN12+EN13</f>
        <v>231.99658764994462</v>
      </c>
      <c r="EO14" s="16">
        <f t="shared" ref="EO14" si="239">EO12+EO13</f>
        <v>197.08394698092604</v>
      </c>
      <c r="EP14" s="16">
        <f t="shared" ref="EP14" si="240">EP12+EP13</f>
        <v>226.33756120384078</v>
      </c>
      <c r="EQ14" s="16">
        <f t="shared" ref="EQ14" si="241">EQ12+EQ13</f>
        <v>210.55959372247176</v>
      </c>
      <c r="ER14" s="16">
        <f t="shared" ref="ER14" si="242">ER12+ER13</f>
        <v>128.62629686307719</v>
      </c>
      <c r="ES14" s="16">
        <f t="shared" ref="ES14" si="243">ES12+ES13</f>
        <v>43.907692686498756</v>
      </c>
      <c r="ET14" s="16">
        <f t="shared" ref="ET14" si="244">ET12+ET13</f>
        <v>9.5643789562783663</v>
      </c>
      <c r="EU14" s="11">
        <f t="shared" si="71"/>
        <v>4352.1239029263998</v>
      </c>
      <c r="EV14" s="11">
        <f t="shared" si="41"/>
        <v>296.56218982088922</v>
      </c>
      <c r="EW14" s="11">
        <f t="shared" si="42"/>
        <v>129.96179345476736</v>
      </c>
      <c r="EX14" s="11">
        <f t="shared" si="10"/>
        <v>1310.4422475569083</v>
      </c>
      <c r="EY14" s="11">
        <f t="shared" si="43"/>
        <v>816.07947041309285</v>
      </c>
      <c r="EZ14" s="15">
        <f t="shared" si="44"/>
        <v>0.30110407625935409</v>
      </c>
      <c r="FA14" s="15">
        <f t="shared" si="45"/>
        <v>0.18751292210783685</v>
      </c>
      <c r="FB14" s="11">
        <f t="shared" si="72"/>
        <v>794.39863089547782</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61.845332018986326</v>
      </c>
      <c r="BL15" s="9">
        <f>IF(管理者入力シート!$B$14=1,BK12*管理者用人口入力シート!AM$3,IF(管理者入力シート!$B$14=2,BK12*管理者用人口入力シート!AM$7))</f>
        <v>76.976461063569957</v>
      </c>
      <c r="BM15" s="9">
        <f>IF(管理者入力シート!$B$14=1,BL12*管理者用人口入力シート!AN$3,IF(管理者入力シート!$B$14=2,BL12*管理者用人口入力シート!AN$7))</f>
        <v>89.381826878503759</v>
      </c>
      <c r="BN15" s="9">
        <f>IF(管理者入力シート!$B$14=1,BM12*管理者用人口入力シート!AO$3,IF(管理者入力シート!$B$14=2,BM12*管理者用人口入力シート!AO$7))</f>
        <v>78.410415172814169</v>
      </c>
      <c r="BO15" s="9">
        <f>IF(管理者入力シート!$B$14=1,BN12*管理者用人口入力シート!AP$3,IF(管理者入力シート!$B$14=2,BN12*管理者用人口入力シート!AP$7))</f>
        <v>57.987568616957596</v>
      </c>
      <c r="BP15" s="9">
        <f>IF(管理者入力シート!$B$14=1,BO12*管理者用人口入力シート!AQ$3,IF(管理者入力シート!$B$14=2,BO12*管理者用人口入力シート!AQ$7))</f>
        <v>61.021292275914853</v>
      </c>
      <c r="BQ15" s="9">
        <f>IF(管理者入力シート!$B$14=1,BP12*管理者用人口入力シート!AR$3,IF(管理者入力シート!$B$14=2,BP12*管理者用人口入力シート!AR$7))</f>
        <v>52.091192706404144</v>
      </c>
      <c r="BR15" s="9">
        <f>IF(管理者入力シート!$B$14=1,BQ12*管理者用人口入力シート!AS$3,IF(管理者入力シート!$B$14=2,BQ12*管理者用人口入力シート!AS$7))</f>
        <v>57.079791600549186</v>
      </c>
      <c r="BS15" s="9">
        <f>IF(管理者入力シート!$B$14=1,BR12*管理者用人口入力シート!AT$3,IF(管理者入力シート!$B$14=2,BR12*管理者用人口入力シート!AT$7))</f>
        <v>61.032784097887614</v>
      </c>
      <c r="BT15" s="9">
        <f>IF(管理者入力シート!$B$14=1,BS12*管理者用人口入力シート!AU$3,IF(管理者入力シート!$B$14=2,BS12*管理者用人口入力シート!AU$7))</f>
        <v>95.591143300140345</v>
      </c>
      <c r="BU15" s="9">
        <f>IF(管理者入力シート!$B$14=1,BT12*管理者用人口入力シート!AV$3,IF(管理者入力シート!$B$14=2,BT12*管理者用人口入力シート!AV$7))</f>
        <v>93.951358736549125</v>
      </c>
      <c r="BV15" s="9">
        <f>IF(管理者入力シート!$B$14=1,BU12*管理者用人口入力シート!AW$3,IF(管理者入力シート!$B$14=2,BU12*管理者用人口入力シート!AW$7))</f>
        <v>105.30507161350937</v>
      </c>
      <c r="BW15" s="9">
        <f>IF(管理者入力シート!$B$14=1,BV12*管理者用人口入力シート!AX$3,IF(管理者入力シート!$B$14=2,BV12*管理者用人口入力シート!AX$7))</f>
        <v>109.74941017131864</v>
      </c>
      <c r="BX15" s="9">
        <f>IF(管理者入力シート!$B$14=1,BW12*管理者用人口入力シート!AY$3,IF(管理者入力シート!$B$14=2,BW12*管理者用人口入力シート!AY$7))</f>
        <v>116.76669048544716</v>
      </c>
      <c r="BY15" s="9">
        <f>IF(管理者入力シート!$B$14=1,BX12*管理者用人口入力シート!AZ$3,IF(管理者入力シート!$B$14=2,BX12*管理者用人口入力シート!AZ$7))</f>
        <v>111.63399062139524</v>
      </c>
      <c r="BZ15" s="9">
        <f>IF(管理者入力シート!$B$14=1,BY12*管理者用人口入力シート!BA$3,IF(管理者入力シート!$B$14=2,BY12*管理者用人口入力シート!BA$7))</f>
        <v>87.294874494077135</v>
      </c>
      <c r="CA15" s="9">
        <f>IF(管理者入力シート!$B$14=1,BZ12*管理者用人口入力シート!BB$3,IF(管理者入力シート!$B$14=2,BZ12*管理者用人口入力シート!BB$7))</f>
        <v>75.674011680597516</v>
      </c>
      <c r="CB15" s="9">
        <f>IF(管理者入力シート!$B$14=1,CA12*管理者用人口入力シート!BC$3,IF(管理者入力シート!$B$14=2,CA12*管理者用人口入力シート!BC$7))</f>
        <v>62.052442404634093</v>
      </c>
      <c r="CC15" s="9">
        <f>IF(管理者入力シート!$B$14=1,CB12*管理者用人口入力シート!BD$3,IF(管理者入力シート!$B$14=2,CB12*管理者用人口入力シート!BD$7))</f>
        <v>29.629449087713695</v>
      </c>
      <c r="CD15" s="9">
        <f>IF(管理者入力シート!$B$14=1,CC12*管理者用人口入力シート!BE$3,IF(管理者入力シート!$B$14=2,CC12*管理者用人口入力シート!BE$7))</f>
        <v>13.028315714431175</v>
      </c>
      <c r="CE15" s="9">
        <f>IF(管理者入力シート!$B$14=1,CD12*管理者用人口入力シート!BF$3,IF(管理者入力シート!$B$14=2,CD12*管理者用人口入力シート!BF$7))</f>
        <v>3.2540469794874229</v>
      </c>
      <c r="CF15" s="9">
        <f t="shared" ref="CF15:CF20" si="252">SUM(BK15:CE15)</f>
        <v>1499.7574697208886</v>
      </c>
      <c r="CG15" s="9">
        <f t="shared" ref="CG15:CG20" si="253">BL15*3/5+BM15*3/5</f>
        <v>99.814972765244221</v>
      </c>
      <c r="CH15" s="9">
        <f t="shared" ref="CH15:CH20" si="254">BM15*2/5+BN15*1/5</f>
        <v>51.434813785964337</v>
      </c>
      <c r="CI15" s="9">
        <f t="shared" ref="CI15:CI20" si="255">SUM(BX15:CE15)</f>
        <v>499.33382146778342</v>
      </c>
      <c r="CJ15" s="9">
        <f t="shared" ref="CJ15:CJ20" si="256">SUM(BZ15:CE15)</f>
        <v>270.93314036094108</v>
      </c>
      <c r="CK15" s="13">
        <f t="shared" ref="CK15:CK20" si="257">CI15/CF15</f>
        <v>0.33294304682523879</v>
      </c>
      <c r="CL15" s="13">
        <f t="shared" ref="CL15:CL20" si="258">CJ15/CF15</f>
        <v>0.18065130251450784</v>
      </c>
      <c r="CM15" s="9">
        <f t="shared" ref="CM15:CM20" si="259">SUM(BO15:BR15)</f>
        <v>228.17984519982576</v>
      </c>
      <c r="CO15" s="7" t="str">
        <f t="shared" si="26"/>
        <v>2045_1</v>
      </c>
      <c r="CP15" s="28">
        <f>管理者入力シート!B12</f>
        <v>2045</v>
      </c>
      <c r="CQ15" s="3" t="s">
        <v>21</v>
      </c>
      <c r="CR15" s="9">
        <f>DT16*$AK$13+将来予測シート②!$G17</f>
        <v>65.514636131032091</v>
      </c>
      <c r="CS15" s="9">
        <f>IF(管理者入力シート!$B$14=1,CR12*管理者用人口入力シート!AM$3,IF(管理者入力シート!$B$14=2,CR12*管理者用人口入力シート!AM$7))+将来予測シート②!$G18</f>
        <v>80.606656756508585</v>
      </c>
      <c r="CT15" s="9">
        <f>IF(管理者入力シート!$B$14=1,CS12*管理者用人口入力シート!AN$3,IF(管理者入力シート!$B$14=2,CS12*管理者用人口入力シート!AN$7))+将来予測シート②!$G19</f>
        <v>93.992848560480041</v>
      </c>
      <c r="CU15" s="9">
        <f>IF(管理者入力シート!$B$14=1,CT12*管理者用人口入力シート!AO$3,IF(管理者入力シート!$B$14=2,CT12*管理者用人口入力シート!AO$7))+将来予測シート②!$G20</f>
        <v>81.228297232538083</v>
      </c>
      <c r="CV15" s="9">
        <f>IF(管理者入力シート!$B$14=1,CU12*管理者用人口入力シート!AP$3,IF(管理者入力シート!$B$14=2,CU12*管理者用人口入力シート!AP$7))+将来予測シート②!$G21</f>
        <v>59.128035620173399</v>
      </c>
      <c r="CW15" s="9">
        <f>IF(管理者入力シート!$B$14=1,CV12*管理者用人口入力シート!AQ$3,IF(管理者入力シート!$B$14=2,CV12*管理者用人口入力シート!AQ$7))+将来予測シート②!$G22</f>
        <v>63.545078490289633</v>
      </c>
      <c r="CX15" s="9">
        <f>IF(管理者入力シート!$B$14=1,CW12*管理者用人口入力シート!AR$3,IF(管理者入力シート!$B$14=2,CW12*管理者用人口入力シート!AR$7))+将来予測シート②!$G23</f>
        <v>54.837163649711044</v>
      </c>
      <c r="CY15" s="9">
        <f>IF(管理者入力シート!$B$14=1,CX12*管理者用人口入力シート!AS$3,IF(管理者入力シート!$B$14=2,CX12*管理者用人口入力シート!AS$7))+将来予測シート②!$G24</f>
        <v>59.299727927843485</v>
      </c>
      <c r="CZ15" s="9">
        <f>IF(管理者入力シート!$B$14=1,CY12*管理者用人口入力シート!AT$3,IF(管理者入力シート!$B$14=2,CY12*管理者用人口入力シート!AT$7))+将来予測シート②!$G25</f>
        <v>63.311328495016497</v>
      </c>
      <c r="DA15" s="9">
        <f>IF(管理者入力シート!$B$14=1,CZ12*管理者用人口入力シート!AU$3,IF(管理者入力シート!$B$14=2,CZ12*管理者用人口入力シート!AU$7))+将来予測シート②!$G26</f>
        <v>98.037437279647321</v>
      </c>
      <c r="DB15" s="9">
        <f>IF(管理者入力シート!$B$14=1,DA12*管理者用人口入力シート!AV$3,IF(管理者入力シート!$B$14=2,DA12*管理者用人口入力シート!AV$7))+将来予測シート②!$G27</f>
        <v>93.951358736549125</v>
      </c>
      <c r="DC15" s="9">
        <f>IF(管理者入力シート!$B$14=1,DB12*管理者用人口入力シート!AW$3,IF(管理者入力シート!$B$14=2,DB12*管理者用人口入力シート!AW$7))+将来予測シート②!$G28</f>
        <v>105.30507161350937</v>
      </c>
      <c r="DD15" s="9">
        <f>IF(管理者入力シート!$B$14=1,DC12*管理者用人口入力シート!AX$3,IF(管理者入力シート!$B$14=2,DC12*管理者用人口入力シート!AX$7))+将来予測シート②!$G29</f>
        <v>109.74941017131864</v>
      </c>
      <c r="DE15" s="9">
        <f>IF(管理者入力シート!$B$14=1,DD12*管理者用人口入力シート!AY$3,IF(管理者入力シート!$B$14=2,DD12*管理者用人口入力シート!AY$7))</f>
        <v>116.76669048544716</v>
      </c>
      <c r="DF15" s="9">
        <f>IF(管理者入力シート!$B$14=1,DE12*管理者用人口入力シート!AZ$3,IF(管理者入力シート!$B$14=2,DE12*管理者用人口入力シート!AZ$7))</f>
        <v>111.63399062139524</v>
      </c>
      <c r="DG15" s="9">
        <f>IF(管理者入力シート!$B$14=1,DF12*管理者用人口入力シート!BA$3,IF(管理者入力シート!$B$14=2,DF12*管理者用人口入力シート!BA$7))</f>
        <v>87.294874494077135</v>
      </c>
      <c r="DH15" s="9">
        <f>IF(管理者入力シート!$B$14=1,DG12*管理者用人口入力シート!BB$3,IF(管理者入力シート!$B$14=2,DG12*管理者用人口入力シート!BB$7))</f>
        <v>75.674011680597516</v>
      </c>
      <c r="DI15" s="9">
        <f>IF(管理者入力シート!$B$14=1,DH12*管理者用人口入力シート!BC$3,IF(管理者入力シート!$B$14=2,DH12*管理者用人口入力シート!BC$7))</f>
        <v>62.052442404634093</v>
      </c>
      <c r="DJ15" s="9">
        <f>IF(管理者入力シート!$B$14=1,DI12*管理者用人口入力シート!BD$3,IF(管理者入力シート!$B$14=2,DI12*管理者用人口入力シート!BD$7))</f>
        <v>29.629449087713695</v>
      </c>
      <c r="DK15" s="9">
        <f>IF(管理者入力シート!$B$14=1,DJ12*管理者用人口入力シート!BE$3,IF(管理者入力シート!$B$14=2,DJ12*管理者用人口入力シート!BE$7))</f>
        <v>13.028315714431175</v>
      </c>
      <c r="DL15" s="9">
        <f>IF(管理者入力シート!$B$14=1,DK12*管理者用人口入力シート!BF$3,IF(管理者入力シート!$B$14=2,DK12*管理者用人口入力シート!BF$7))</f>
        <v>3.2540469794874229</v>
      </c>
      <c r="DM15" s="9">
        <f t="shared" ref="DM15:DM20" si="260">SUM(CR15:DL15)</f>
        <v>1527.8408721324006</v>
      </c>
      <c r="DN15" s="9">
        <f t="shared" ref="DN15:DN20" si="261">CS15*3/5+CT15*3/5</f>
        <v>104.75970319019316</v>
      </c>
      <c r="DO15" s="9">
        <f t="shared" ref="DO15:DO20" si="262">CT15*2/5+CU15*1/5</f>
        <v>53.842798870699632</v>
      </c>
      <c r="DP15" s="9">
        <f t="shared" ref="DP15:DP20" si="263">SUM(DE15:DL15)</f>
        <v>499.33382146778342</v>
      </c>
      <c r="DQ15" s="9">
        <f t="shared" ref="DQ15:DQ20" si="264">SUM(DG15:DL15)</f>
        <v>270.93314036094108</v>
      </c>
      <c r="DR15" s="13">
        <f t="shared" ref="DR15:DR20" si="265">DP15/DM15</f>
        <v>0.32682318595840776</v>
      </c>
      <c r="DS15" s="13">
        <f t="shared" ref="DS15:DS20" si="266">DQ15/DM15</f>
        <v>0.17733073208258981</v>
      </c>
      <c r="DT15" s="9">
        <f t="shared" ref="DT15:DT20" si="267">SUM(CV15:CY15)</f>
        <v>236.81000568801755</v>
      </c>
      <c r="DV15" s="62" t="s">
        <v>404</v>
      </c>
      <c r="DW15" s="210">
        <f>AK13+AK14</f>
        <v>0.52468794560747278</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44.613339300750695</v>
      </c>
      <c r="BL16" s="10">
        <f>IF(管理者入力シート!$B$14=1,BK13*管理者用人口入力シート!AM$4,IF(管理者入力シート!$B$14=2,BK13*管理者用人口入力シート!AM$8))</f>
        <v>55.15313140724529</v>
      </c>
      <c r="BM16" s="10">
        <f>IF(管理者入力シート!$B$14=1,BL13*管理者用人口入力シート!AN$4,IF(管理者入力シート!$B$14=2,BL13*管理者用人口入力シート!AN$8))</f>
        <v>60.384878193815346</v>
      </c>
      <c r="BN16" s="10">
        <f>IF(管理者入力シート!$B$14=1,BM13*管理者用人口入力シート!AO$4,IF(管理者入力シート!$B$14=2,BM13*管理者用人口入力シート!AO$8))</f>
        <v>59.091198218721289</v>
      </c>
      <c r="BO16" s="10">
        <f>IF(管理者入力シート!$B$14=1,BN13*管理者用人口入力シート!AP$4,IF(管理者入力シート!$B$14=2,BN13*管理者用人口入力シート!AP$8))</f>
        <v>39.79128295514473</v>
      </c>
      <c r="BP16" s="10">
        <f>IF(管理者入力シート!$B$14=1,BO13*管理者用人口入力シート!AQ$4,IF(管理者入力シート!$B$14=2,BO13*管理者用人口入力シート!AQ$8))</f>
        <v>44.556288399264496</v>
      </c>
      <c r="BQ16" s="10">
        <f>IF(管理者入力シート!$B$14=1,BP13*管理者用人口入力シート!AR$4,IF(管理者入力シート!$B$14=2,BP13*管理者用人口入力シート!AR$8))</f>
        <v>60.043074853550614</v>
      </c>
      <c r="BR16" s="10">
        <f>IF(管理者入力シート!$B$14=1,BQ13*管理者用人口入力シート!AS$4,IF(管理者入力シート!$B$14=2,BQ13*管理者用人口入力シート!AS$8))</f>
        <v>58.508376365317297</v>
      </c>
      <c r="BS16" s="10">
        <f>IF(管理者入力シート!$B$14=1,BR13*管理者用人口入力シート!AT$4,IF(管理者入力シート!$B$14=2,BR13*管理者用人口入力シート!AT$8))</f>
        <v>75.939344088374341</v>
      </c>
      <c r="BT16" s="10">
        <f>IF(管理者入力シート!$B$14=1,BS13*管理者用人口入力シート!AU$4,IF(管理者入力シート!$B$14=2,BS13*管理者用人口入力シート!AU$8))</f>
        <v>86.182060086465114</v>
      </c>
      <c r="BU16" s="10">
        <f>IF(管理者入力シート!$B$14=1,BT13*管理者用人口入力シート!AV$4,IF(管理者入力シート!$B$14=2,BT13*管理者用人口入力シート!AV$8))</f>
        <v>107.48417253215737</v>
      </c>
      <c r="BV16" s="10">
        <f>IF(管理者入力シート!$B$14=1,BU13*管理者用人口入力シート!AW$4,IF(管理者入力シート!$B$14=2,BU13*管理者用人口入力シート!AW$8))</f>
        <v>95.146703630876402</v>
      </c>
      <c r="BW16" s="10">
        <f>IF(管理者入力シート!$B$14=1,BV13*管理者用人口入力シート!AX$4,IF(管理者入力シート!$B$14=2,BV13*管理者用人口入力シート!AX$8))</f>
        <v>107.54110817673762</v>
      </c>
      <c r="BX16" s="10">
        <f>IF(管理者入力シート!$B$14=1,BW13*管理者用人口入力シート!AY$4,IF(管理者入力シート!$B$14=2,BW13*管理者用人口入力シート!AY$8))</f>
        <v>126.31170900362092</v>
      </c>
      <c r="BY16" s="10">
        <f>IF(管理者入力シート!$B$14=1,BX13*管理者用人口入力シート!AZ$4,IF(管理者入力シート!$B$14=2,BX13*管理者用人口入力シート!AZ$8))</f>
        <v>135.19888432886799</v>
      </c>
      <c r="BZ16" s="10">
        <f>IF(管理者入力シート!$B$14=1,BY13*管理者用人口入力シート!BA$4,IF(管理者入力シート!$B$14=2,BY13*管理者用人口入力シート!BA$8))</f>
        <v>124.92521571913397</v>
      </c>
      <c r="CA16" s="10">
        <f>IF(管理者入力シート!$B$14=1,BZ13*管理者用人口入力シート!BB$4,IF(管理者入力シート!$B$14=2,BZ13*管理者用人口入力シート!BB$8))</f>
        <v>93.74502767001249</v>
      </c>
      <c r="CB16" s="10">
        <f>IF(管理者入力シート!$B$14=1,CA13*管理者用人口入力シート!BC$4,IF(管理者入力シート!$B$14=2,CA13*管理者用人口入力シート!BC$8))</f>
        <v>101.52813042367006</v>
      </c>
      <c r="CC16" s="10">
        <f>IF(管理者入力シート!$B$14=1,CB13*管理者用人口入力シート!BD$4,IF(管理者入力シート!$B$14=2,CB13*管理者用人口入力シート!BD$8))</f>
        <v>81.852847241801967</v>
      </c>
      <c r="CD16" s="10">
        <f>IF(管理者入力シート!$B$14=1,CC13*管理者用人口入力シート!BE$4,IF(管理者入力シート!$B$14=2,CC13*管理者用人口入力シート!BE$8))</f>
        <v>43.248923221561824</v>
      </c>
      <c r="CE16" s="10">
        <f>IF(管理者入力シート!$B$14=1,CD13*管理者用人口入力シート!BF$4,IF(管理者入力シート!$B$14=2,CD13*管理者用人口入力シート!BF$8))</f>
        <v>6.2881160935963694</v>
      </c>
      <c r="CF16" s="10">
        <f t="shared" si="252"/>
        <v>1607.5338119106862</v>
      </c>
      <c r="CG16" s="10">
        <f t="shared" si="253"/>
        <v>69.322805760636385</v>
      </c>
      <c r="CH16" s="10">
        <f t="shared" si="254"/>
        <v>35.972190921270396</v>
      </c>
      <c r="CI16" s="10">
        <f t="shared" si="255"/>
        <v>713.09885370226573</v>
      </c>
      <c r="CJ16" s="10">
        <f t="shared" si="256"/>
        <v>451.58826036977666</v>
      </c>
      <c r="CK16" s="14">
        <f t="shared" si="257"/>
        <v>0.44359804342447334</v>
      </c>
      <c r="CL16" s="14">
        <f t="shared" si="258"/>
        <v>0.28091991410931932</v>
      </c>
      <c r="CM16" s="10">
        <f t="shared" si="259"/>
        <v>202.89902257327714</v>
      </c>
      <c r="CO16" s="7" t="str">
        <f t="shared" si="26"/>
        <v>2045_2</v>
      </c>
      <c r="CP16" s="29">
        <f>CP15</f>
        <v>2045</v>
      </c>
      <c r="CQ16" s="4" t="s">
        <v>22</v>
      </c>
      <c r="CR16" s="10">
        <f>DT16*$AK$14+将来予測シート②!$H17</f>
        <v>47.538894005688284</v>
      </c>
      <c r="CS16" s="10">
        <f>IF(管理者入力シート!$B$14=1,CR13*管理者用人口入力シート!AM$4,IF(管理者入力シート!$B$14=2,CR13*管理者用人口入力シート!AM$8))+将来予測シート②!$H18</f>
        <v>58.057732998048735</v>
      </c>
      <c r="CT16" s="10">
        <f>IF(管理者入力シート!$B$14=1,CS13*管理者用人口入力シート!AN$4,IF(管理者入力シート!$B$14=2,CS13*管理者用人口入力シート!AN$8))+将来予測シート②!$H19</f>
        <v>64.124832851532517</v>
      </c>
      <c r="CU16" s="10">
        <f>IF(管理者入力シート!$B$14=1,CT13*管理者用人口入力シート!AO$4,IF(管理者入力シート!$B$14=2,CT13*管理者用人口入力シート!AO$8))+将来予測シート②!$H20</f>
        <v>61.760690944040178</v>
      </c>
      <c r="CV16" s="10">
        <f>IF(管理者入力シート!$B$14=1,CU13*管理者用人口入力シート!AP$4,IF(管理者入力シート!$B$14=2,CU13*管理者用人口入力シート!AP$8))+将来予測シート②!$H21</f>
        <v>40.91033157310914</v>
      </c>
      <c r="CW16" s="10">
        <f>IF(管理者入力シート!$B$14=1,CV13*管理者用人口入力シート!AQ$4,IF(管理者入力シート!$B$14=2,CV13*管理者用人口入力シート!AQ$8))+将来予測シート②!$H22</f>
        <v>47.122400844038395</v>
      </c>
      <c r="CX16" s="10">
        <f>IF(管理者入力シート!$B$14=1,CW13*管理者用人口入力シート!AR$4,IF(管理者入力シート!$B$14=2,CW13*管理者用人口入力シート!AR$8))+将来予測シート②!$H23</f>
        <v>62.766341138939858</v>
      </c>
      <c r="CY16" s="10">
        <f>IF(管理者入力シート!$B$14=1,CX13*管理者用人口入力シート!AS$4,IF(管理者入力シート!$B$14=2,CX13*管理者用人口入力シート!AS$8))+将来予測シート②!$H24</f>
        <v>60.857266305399058</v>
      </c>
      <c r="CZ16" s="10">
        <f>IF(管理者入力シート!$B$14=1,CY13*管理者用人口入力シート!AT$4,IF(管理者入力シート!$B$14=2,CY13*管理者用人口入力シート!AT$8))+将来予測シート②!$H25</f>
        <v>79.215013610783842</v>
      </c>
      <c r="DA16" s="10">
        <f>IF(管理者入力シート!$B$14=1,CZ13*管理者用人口入力シート!AU$4,IF(管理者入力シート!$B$14=2,CZ13*管理者用人口入力シート!AU$8))+将来予測シート②!$H26</f>
        <v>89.812769992637413</v>
      </c>
      <c r="DB16" s="10">
        <f>IF(管理者入力シート!$B$14=1,DA13*管理者用人口入力シート!AV$4,IF(管理者入力シート!$B$14=2,DA13*管理者用人口入力シート!AV$8))+将来予測シート②!$H27</f>
        <v>108.60874134140245</v>
      </c>
      <c r="DC16" s="10">
        <f>IF(管理者入力シート!$B$14=1,DB13*管理者用人口入力シート!AW$4,IF(管理者入力シート!$B$14=2,DB13*管理者用人口入力シート!AW$8))+将来予測シート②!$H28</f>
        <v>96.228922553789076</v>
      </c>
      <c r="DD16" s="10">
        <f>IF(管理者入力シート!$B$14=1,DC13*管理者用人口入力シート!AX$4,IF(管理者入力シート!$B$14=2,DC13*管理者用人口入力シート!AX$8))+将来予測シート②!$H29</f>
        <v>108.64013073923543</v>
      </c>
      <c r="DE16" s="10">
        <f>IF(管理者入力シート!$B$14=1,DD13*管理者用人口入力シート!AY$4,IF(管理者入力シート!$B$14=2,DD13*管理者用人口入力シート!AY$8))</f>
        <v>126.31170900362092</v>
      </c>
      <c r="DF16" s="10">
        <f>IF(管理者入力シート!$B$14=1,DE13*管理者用人口入力シート!AZ$4,IF(管理者入力シート!$B$14=2,DE13*管理者用人口入力シート!AZ$8))</f>
        <v>135.19888432886799</v>
      </c>
      <c r="DG16" s="10">
        <f>IF(管理者入力シート!$B$14=1,DF13*管理者用人口入力シート!BA$4,IF(管理者入力シート!$B$14=2,DF13*管理者用人口入力シート!BA$8))</f>
        <v>124.92521571913397</v>
      </c>
      <c r="DH16" s="10">
        <f>IF(管理者入力シート!$B$14=1,DG13*管理者用人口入力シート!BB$4,IF(管理者入力シート!$B$14=2,DG13*管理者用人口入力シート!BB$8))</f>
        <v>93.74502767001249</v>
      </c>
      <c r="DI16" s="10">
        <f>IF(管理者入力シート!$B$14=1,DH13*管理者用人口入力シート!BC$4,IF(管理者入力シート!$B$14=2,DH13*管理者用人口入力シート!BC$8))</f>
        <v>101.52813042367006</v>
      </c>
      <c r="DJ16" s="10">
        <f>IF(管理者入力シート!$B$14=1,DI13*管理者用人口入力シート!BD$4,IF(管理者入力シート!$B$14=2,DI13*管理者用人口入力シート!BD$8))</f>
        <v>81.852847241801967</v>
      </c>
      <c r="DK16" s="10">
        <f>IF(管理者入力シート!$B$14=1,DJ13*管理者用人口入力シート!BE$4,IF(管理者入力シート!$B$14=2,DJ13*管理者用人口入力シート!BE$8))</f>
        <v>43.248923221561824</v>
      </c>
      <c r="DL16" s="10">
        <f>IF(管理者入力シート!$B$14=1,DK13*管理者用人口入力シート!BF$4,IF(管理者入力シート!$B$14=2,DK13*管理者用人口入力シート!BF$8))</f>
        <v>6.2881160935963694</v>
      </c>
      <c r="DM16" s="10">
        <f t="shared" si="260"/>
        <v>1638.7429226009101</v>
      </c>
      <c r="DN16" s="10">
        <f t="shared" si="261"/>
        <v>73.30953950974876</v>
      </c>
      <c r="DO16" s="10">
        <f t="shared" si="262"/>
        <v>38.002071329421042</v>
      </c>
      <c r="DP16" s="10">
        <f t="shared" si="263"/>
        <v>713.09885370226573</v>
      </c>
      <c r="DQ16" s="10">
        <f t="shared" si="264"/>
        <v>451.58826036977666</v>
      </c>
      <c r="DR16" s="14">
        <f t="shared" si="265"/>
        <v>0.43514992123992208</v>
      </c>
      <c r="DS16" s="14">
        <f t="shared" si="266"/>
        <v>0.27556992261668722</v>
      </c>
      <c r="DT16" s="10">
        <f t="shared" si="267"/>
        <v>211.65633986148646</v>
      </c>
      <c r="DV16" s="211" t="s">
        <v>406</v>
      </c>
      <c r="DW16" s="7">
        <f>IF(DW10&lt;0,ABS(DW10)/DW15,0)</f>
        <v>23.894035570581181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106.45867131973702</v>
      </c>
      <c r="BL17" s="16">
        <f t="shared" ref="BL17:CE17" si="268">BL15+BL16</f>
        <v>132.12959247081525</v>
      </c>
      <c r="BM17" s="16">
        <f t="shared" si="268"/>
        <v>149.7667050723191</v>
      </c>
      <c r="BN17" s="16">
        <f t="shared" si="268"/>
        <v>137.50161339153544</v>
      </c>
      <c r="BO17" s="16">
        <f t="shared" si="268"/>
        <v>97.778851572102326</v>
      </c>
      <c r="BP17" s="16">
        <f t="shared" si="268"/>
        <v>105.57758067517935</v>
      </c>
      <c r="BQ17" s="16">
        <f t="shared" si="268"/>
        <v>112.13426755995476</v>
      </c>
      <c r="BR17" s="16">
        <f t="shared" si="268"/>
        <v>115.58816796586649</v>
      </c>
      <c r="BS17" s="16">
        <f t="shared" si="268"/>
        <v>136.97212818626195</v>
      </c>
      <c r="BT17" s="16">
        <f t="shared" si="268"/>
        <v>181.77320338660547</v>
      </c>
      <c r="BU17" s="16">
        <f t="shared" si="268"/>
        <v>201.43553126870648</v>
      </c>
      <c r="BV17" s="16">
        <f t="shared" si="268"/>
        <v>200.45177524438577</v>
      </c>
      <c r="BW17" s="16">
        <f t="shared" si="268"/>
        <v>217.29051834805625</v>
      </c>
      <c r="BX17" s="16">
        <f t="shared" si="268"/>
        <v>243.07839948906809</v>
      </c>
      <c r="BY17" s="16">
        <f t="shared" si="268"/>
        <v>246.83287495026323</v>
      </c>
      <c r="BZ17" s="16">
        <f t="shared" si="268"/>
        <v>212.22009021321111</v>
      </c>
      <c r="CA17" s="16">
        <f t="shared" si="268"/>
        <v>169.41903935061001</v>
      </c>
      <c r="CB17" s="16">
        <f t="shared" si="268"/>
        <v>163.58057282830416</v>
      </c>
      <c r="CC17" s="16">
        <f t="shared" si="268"/>
        <v>111.48229632951566</v>
      </c>
      <c r="CD17" s="16">
        <f t="shared" si="268"/>
        <v>56.277238935992997</v>
      </c>
      <c r="CE17" s="16">
        <f t="shared" si="268"/>
        <v>9.5421630730837919</v>
      </c>
      <c r="CF17" s="11">
        <f t="shared" si="252"/>
        <v>3107.2912816315747</v>
      </c>
      <c r="CG17" s="11">
        <f t="shared" si="253"/>
        <v>169.13777852588061</v>
      </c>
      <c r="CH17" s="11">
        <f t="shared" si="254"/>
        <v>87.407004707234734</v>
      </c>
      <c r="CI17" s="11">
        <f t="shared" si="255"/>
        <v>1212.4326751700492</v>
      </c>
      <c r="CJ17" s="11">
        <f t="shared" si="256"/>
        <v>722.52140073071769</v>
      </c>
      <c r="CK17" s="15">
        <f t="shared" si="257"/>
        <v>0.39018957840779755</v>
      </c>
      <c r="CL17" s="15">
        <f t="shared" si="258"/>
        <v>0.23252451580636385</v>
      </c>
      <c r="CM17" s="11">
        <f t="shared" si="259"/>
        <v>431.0788677731029</v>
      </c>
      <c r="CO17" s="7" t="str">
        <f t="shared" si="26"/>
        <v>2045_3</v>
      </c>
      <c r="CP17" s="30">
        <f>CP16</f>
        <v>2045</v>
      </c>
      <c r="CQ17" s="5" t="s">
        <v>23</v>
      </c>
      <c r="CR17" s="16">
        <f>CR15+CR16</f>
        <v>113.05353013672038</v>
      </c>
      <c r="CS17" s="16">
        <f>CS15+CS16</f>
        <v>138.66438975455731</v>
      </c>
      <c r="CT17" s="16">
        <f t="shared" ref="CT17:DL17" si="269">CT15+CT16</f>
        <v>158.11768141201256</v>
      </c>
      <c r="CU17" s="16">
        <f t="shared" si="269"/>
        <v>142.98898817657826</v>
      </c>
      <c r="CV17" s="16">
        <f t="shared" si="269"/>
        <v>100.03836719328254</v>
      </c>
      <c r="CW17" s="16">
        <f t="shared" si="269"/>
        <v>110.66747933432802</v>
      </c>
      <c r="CX17" s="16">
        <f t="shared" si="269"/>
        <v>117.60350478865089</v>
      </c>
      <c r="CY17" s="16">
        <f t="shared" si="269"/>
        <v>120.15699423324254</v>
      </c>
      <c r="CZ17" s="16">
        <f t="shared" si="269"/>
        <v>142.52634210580032</v>
      </c>
      <c r="DA17" s="16">
        <f t="shared" si="269"/>
        <v>187.85020727228473</v>
      </c>
      <c r="DB17" s="16">
        <f t="shared" si="269"/>
        <v>202.56010007795157</v>
      </c>
      <c r="DC17" s="16">
        <f t="shared" si="269"/>
        <v>201.53399416729843</v>
      </c>
      <c r="DD17" s="16">
        <f t="shared" si="269"/>
        <v>218.38954091055408</v>
      </c>
      <c r="DE17" s="16">
        <f t="shared" si="269"/>
        <v>243.07839948906809</v>
      </c>
      <c r="DF17" s="16">
        <f t="shared" si="269"/>
        <v>246.83287495026323</v>
      </c>
      <c r="DG17" s="16">
        <f t="shared" si="269"/>
        <v>212.22009021321111</v>
      </c>
      <c r="DH17" s="16">
        <f t="shared" si="269"/>
        <v>169.41903935061001</v>
      </c>
      <c r="DI17" s="16">
        <f t="shared" si="269"/>
        <v>163.58057282830416</v>
      </c>
      <c r="DJ17" s="16">
        <f t="shared" si="269"/>
        <v>111.48229632951566</v>
      </c>
      <c r="DK17" s="16">
        <f t="shared" si="269"/>
        <v>56.277238935992997</v>
      </c>
      <c r="DL17" s="16">
        <f t="shared" si="269"/>
        <v>9.5421630730837919</v>
      </c>
      <c r="DM17" s="11">
        <f t="shared" si="260"/>
        <v>3166.5837947333112</v>
      </c>
      <c r="DN17" s="11">
        <f t="shared" si="261"/>
        <v>178.06924269994192</v>
      </c>
      <c r="DO17" s="11">
        <f t="shared" si="262"/>
        <v>91.844870200120681</v>
      </c>
      <c r="DP17" s="11">
        <f t="shared" si="263"/>
        <v>1212.4326751700492</v>
      </c>
      <c r="DQ17" s="11">
        <f t="shared" si="264"/>
        <v>722.52140073071769</v>
      </c>
      <c r="DR17" s="15">
        <f t="shared" si="265"/>
        <v>0.38288349646283715</v>
      </c>
      <c r="DS17" s="15">
        <f t="shared" si="266"/>
        <v>0.22817062410678074</v>
      </c>
      <c r="DT17" s="11">
        <f t="shared" si="267"/>
        <v>448.46634554950396</v>
      </c>
      <c r="DV17" s="62" t="s">
        <v>407</v>
      </c>
      <c r="DW17" s="7">
        <f>IF(DW9&gt;=0,0,IF(AND(DW10&lt;=0,DW9&lt;=0,DW16*2&gt;=ABS(DW9)),ROUND(DW16/3,0),ROUND(ABS(DW9)/6,0)))</f>
        <v>27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58.518980552270179</v>
      </c>
      <c r="BL18" s="9">
        <f>IF(管理者入力シート!$B$14=1,BK15*管理者用人口入力シート!AM$3,IF(管理者入力シート!$B$14=2,BK15*管理者用人口入力シート!AM$7))</f>
        <v>67.844011454739757</v>
      </c>
      <c r="BM18" s="9">
        <f>IF(管理者入力シート!$B$14=1,BL15*管理者用人口入力シート!AN$3,IF(管理者入力シート!$B$14=2,BL15*管理者用人口入力シート!AN$7))</f>
        <v>80.782191348620884</v>
      </c>
      <c r="BN18" s="9">
        <f>IF(管理者入力シート!$B$14=1,BM15*管理者用人口入力シート!AO$3,IF(管理者入力シート!$B$14=2,BM15*管理者用人口入力シート!AO$7))</f>
        <v>70.005382689440111</v>
      </c>
      <c r="BO18" s="9">
        <f>IF(管理者入力シート!$B$14=1,BN15*管理者用人口入力シート!AP$3,IF(管理者入力シート!$B$14=2,BN15*管理者用人口入力シート!AP$7))</f>
        <v>53.074672933924653</v>
      </c>
      <c r="BP18" s="9">
        <f>IF(管理者入力シート!$B$14=1,BO15*管理者用人口入力シート!AQ$3,IF(管理者入力シート!$B$14=2,BO15*管理者用人口入力シート!AQ$7))</f>
        <v>57.291894451502721</v>
      </c>
      <c r="BQ18" s="9">
        <f>IF(管理者入力シート!$B$14=1,BP15*管理者用人口入力シート!AR$3,IF(管理者入力シート!$B$14=2,BP15*管理者用人口入力シート!AR$7))</f>
        <v>66.393379343428535</v>
      </c>
      <c r="BR18" s="9">
        <f>IF(管理者入力シート!$B$14=1,BQ15*管理者用人口入力シート!AS$3,IF(管理者入力シート!$B$14=2,BQ15*管理者用人口入力シート!AS$7))</f>
        <v>53.141211385452628</v>
      </c>
      <c r="BS18" s="9">
        <f>IF(管理者入力シート!$B$14=1,BR15*管理者用人口入力シート!AT$3,IF(管理者入力シート!$B$14=2,BR15*管理者用人口入力シート!AT$7))</f>
        <v>58.586743115841209</v>
      </c>
      <c r="BT18" s="9">
        <f>IF(管理者入力シート!$B$14=1,BS15*管理者用人口入力シート!AU$3,IF(管理者入力シート!$B$14=2,BS15*管理者用人口入力シート!AU$7))</f>
        <v>65.526101874224977</v>
      </c>
      <c r="BU18" s="9">
        <f>IF(管理者入力シート!$B$14=1,BT15*管理者用人口入力シート!AV$3,IF(管理者入力シート!$B$14=2,BT15*管理者用人口入力シート!AV$7))</f>
        <v>96.505967888602456</v>
      </c>
      <c r="BV18" s="9">
        <f>IF(管理者入力シート!$B$14=1,BU15*管理者用人口入力シート!AW$3,IF(管理者入力シート!$B$14=2,BU15*管理者用人口入力シート!AW$7))</f>
        <v>89.775509571306713</v>
      </c>
      <c r="BW18" s="9">
        <f>IF(管理者入力シート!$B$14=1,BV15*管理者用人口入力シート!AX$3,IF(管理者入力シート!$B$14=2,BV15*管理者用人口入力シート!AX$7))</f>
        <v>100.48919972669762</v>
      </c>
      <c r="BX18" s="9">
        <f>IF(管理者入力シート!$B$14=1,BW15*管理者用人口入力シート!AY$3,IF(管理者入力シート!$B$14=2,BW15*管理者用人口入力シート!AY$7))</f>
        <v>109.74136101944913</v>
      </c>
      <c r="BY18" s="9">
        <f>IF(管理者入力シート!$B$14=1,BX15*管理者用人口入力シート!AZ$3,IF(管理者入力シート!$B$14=2,BX15*管理者用人口入力シート!AZ$7))</f>
        <v>106.28653861748036</v>
      </c>
      <c r="BZ18" s="9">
        <f>IF(管理者入力シート!$B$14=1,BY15*管理者用人口入力シート!BA$3,IF(管理者入力シート!$B$14=2,BY15*管理者用人口入力シート!BA$7))</f>
        <v>97.755580749177142</v>
      </c>
      <c r="CA18" s="9">
        <f>IF(管理者入力シート!$B$14=1,BZ15*管理者用人口入力シート!BB$3,IF(管理者入力シート!$B$14=2,BZ15*管理者用人口入力シート!BB$7))</f>
        <v>72.292296019645917</v>
      </c>
      <c r="CB18" s="9">
        <f>IF(管理者入力シート!$B$14=1,CA15*管理者用人口入力シート!BC$3,IF(管理者入力シート!$B$14=2,CA15*管理者用人口入力シート!BC$7))</f>
        <v>45.836619378757568</v>
      </c>
      <c r="CC18" s="9">
        <f>IF(管理者入力シート!$B$14=1,CB15*管理者用人口入力シート!BD$3,IF(管理者入力シート!$B$14=2,CB15*管理者用人口入力シート!BD$7))</f>
        <v>25.376695885708067</v>
      </c>
      <c r="CD18" s="9">
        <f>IF(管理者入力シート!$B$14=1,CC15*管理者用人口入力シート!BE$3,IF(管理者入力シート!$B$14=2,CC15*管理者用人口入力シート!BE$7))</f>
        <v>12.126673605260059</v>
      </c>
      <c r="CE18" s="9">
        <f>IF(管理者入力シート!$B$14=1,CD15*管理者用人口入力シート!BF$3,IF(管理者入力シート!$B$14=2,CD15*管理者用人口入力シート!BF$7))</f>
        <v>3.3815550242164338</v>
      </c>
      <c r="CF18" s="9">
        <f t="shared" si="252"/>
        <v>1390.7325666357472</v>
      </c>
      <c r="CG18" s="9">
        <f t="shared" si="253"/>
        <v>89.175721682016388</v>
      </c>
      <c r="CH18" s="9">
        <f t="shared" si="254"/>
        <v>46.313953077336379</v>
      </c>
      <c r="CI18" s="9">
        <f t="shared" si="255"/>
        <v>472.7973202996946</v>
      </c>
      <c r="CJ18" s="9">
        <f t="shared" si="256"/>
        <v>256.76942066276524</v>
      </c>
      <c r="CK18" s="13">
        <f t="shared" si="257"/>
        <v>0.33996278770074062</v>
      </c>
      <c r="CL18" s="13">
        <f t="shared" si="258"/>
        <v>0.18462889762041276</v>
      </c>
      <c r="CM18" s="9">
        <f t="shared" si="259"/>
        <v>229.90115811430854</v>
      </c>
      <c r="CO18" s="7" t="str">
        <f t="shared" si="26"/>
        <v>2050_1</v>
      </c>
      <c r="CP18" s="28">
        <f>管理者入力シート!B13</f>
        <v>2050</v>
      </c>
      <c r="CQ18" s="3" t="s">
        <v>21</v>
      </c>
      <c r="CR18" s="9">
        <f>DT19*$AK$13+将来予測シート②!$G17</f>
        <v>62.737392175498186</v>
      </c>
      <c r="CS18" s="9">
        <f>IF(管理者入力シート!$B$14=1,CR15*管理者用人口入力シート!AM$3,IF(管理者入力シート!$B$14=2,CR15*管理者用人口入力シート!AM$7))+将来予測シート②!$G18</f>
        <v>71.869219212248964</v>
      </c>
      <c r="CT18" s="9">
        <f>IF(管理者入力シート!$B$14=1,CS15*管理者用人口入力シート!AN$3,IF(管理者入力シート!$B$14=2,CS15*管理者用人口入力シート!AN$7))+将来予測シート②!$G19</f>
        <v>85.591864579217017</v>
      </c>
      <c r="CU18" s="9">
        <f>IF(管理者入力シート!$B$14=1,CT15*管理者用人口入力シート!AO$3,IF(管理者入力シート!$B$14=2,CT15*管理者用人口入力シート!AO$7))+将来予測シート②!$G20</f>
        <v>73.616814103510791</v>
      </c>
      <c r="CV18" s="9">
        <f>IF(管理者入力シート!$B$14=1,CU15*管理者用人口入力シート!AP$3,IF(管理者入力シート!$B$14=2,CU15*管理者用人口入力シート!AP$7))+将来予測シート②!$G21</f>
        <v>54.982049248111984</v>
      </c>
      <c r="CW18" s="9">
        <f>IF(管理者入力シート!$B$14=1,CV15*管理者用人口入力シート!AQ$3,IF(管理者入力シート!$B$14=2,CV15*管理者用人口入力シート!AQ$7))+将来予測シート②!$G22</f>
        <v>60.418679325089464</v>
      </c>
      <c r="CX18" s="9">
        <f>IF(管理者入力シート!$B$14=1,CW15*管理者用人口入力シート!AR$3,IF(管理者入力シート!$B$14=2,CW15*管理者用人口入力シート!AR$7))+将来予測シート②!$G23</f>
        <v>69.139350286735436</v>
      </c>
      <c r="CY18" s="9">
        <f>IF(管理者入力シート!$B$14=1,CX15*管理者用人口入力シート!AS$3,IF(管理者入力シート!$B$14=2,CX15*管理者用人口入力シート!AS$7))+将来予測シート②!$G24</f>
        <v>55.942533735260191</v>
      </c>
      <c r="CZ18" s="9">
        <f>IF(管理者入力シート!$B$14=1,CY15*管理者用人口入力シート!AT$3,IF(管理者入力シート!$B$14=2,CY15*管理者用人口入力シート!AT$7))+将来予測シート②!$G25</f>
        <v>60.865287512970085</v>
      </c>
      <c r="DA18" s="9">
        <f>IF(管理者入力シート!$B$14=1,CZ15*管理者用人口入力シート!AU$3,IF(管理者入力シート!$B$14=2,CZ15*管理者用人口入力シート!AU$7))+将来予測シート②!$G26</f>
        <v>67.972395853731953</v>
      </c>
      <c r="DB18" s="9">
        <f>IF(管理者入力シート!$B$14=1,DA15*管理者用人口入力シート!AV$3,IF(管理者入力シート!$B$14=2,DA15*管理者用人口入力シート!AV$7))+将来予測シート②!$G27</f>
        <v>98.975673345426245</v>
      </c>
      <c r="DC18" s="9">
        <f>IF(管理者入力シート!$B$14=1,DB15*管理者用人口入力シート!AW$3,IF(管理者入力シート!$B$14=2,DB15*管理者用人口入力シート!AW$7))+将来予測シート②!$G28</f>
        <v>89.775509571306713</v>
      </c>
      <c r="DD18" s="9">
        <f>IF(管理者入力シート!$B$14=1,DC15*管理者用人口入力シート!AX$3,IF(管理者入力シート!$B$14=2,DC15*管理者用人口入力シート!AX$7))+将来予測シート②!$G29</f>
        <v>100.48919972669762</v>
      </c>
      <c r="DE18" s="9">
        <f>IF(管理者入力シート!$B$14=1,DD15*管理者用人口入力シート!AY$3,IF(管理者入力シート!$B$14=2,DD15*管理者用人口入力シート!AY$7))</f>
        <v>109.74136101944913</v>
      </c>
      <c r="DF18" s="9">
        <f>IF(管理者入力シート!$B$14=1,DE15*管理者用人口入力シート!AZ$3,IF(管理者入力シート!$B$14=2,DE15*管理者用人口入力シート!AZ$7))</f>
        <v>106.28653861748036</v>
      </c>
      <c r="DG18" s="9">
        <f>IF(管理者入力シート!$B$14=1,DF15*管理者用人口入力シート!BA$3,IF(管理者入力シート!$B$14=2,DF15*管理者用人口入力シート!BA$7))</f>
        <v>97.755580749177142</v>
      </c>
      <c r="DH18" s="9">
        <f>IF(管理者入力シート!$B$14=1,DG15*管理者用人口入力シート!BB$3,IF(管理者入力シート!$B$14=2,DG15*管理者用人口入力シート!BB$7))</f>
        <v>72.292296019645917</v>
      </c>
      <c r="DI18" s="9">
        <f>IF(管理者入力シート!$B$14=1,DH15*管理者用人口入力シート!BC$3,IF(管理者入力シート!$B$14=2,DH15*管理者用人口入力シート!BC$7))</f>
        <v>45.836619378757568</v>
      </c>
      <c r="DJ18" s="9">
        <f>IF(管理者入力シート!$B$14=1,DI15*管理者用人口入力シート!BD$3,IF(管理者入力シート!$B$14=2,DI15*管理者用人口入力シート!BD$7))</f>
        <v>25.376695885708067</v>
      </c>
      <c r="DK18" s="9">
        <f>IF(管理者入力シート!$B$14=1,DJ15*管理者用人口入力シート!BE$3,IF(管理者入力シート!$B$14=2,DJ15*管理者用人口入力シート!BE$7))</f>
        <v>12.126673605260059</v>
      </c>
      <c r="DL18" s="9">
        <f>IF(管理者入力シート!$B$14=1,DK15*管理者用人口入力シート!BF$3,IF(管理者入力シート!$B$14=2,DK15*管理者用人口入力シート!BF$7))</f>
        <v>3.3815550242164338</v>
      </c>
      <c r="DM18" s="9">
        <f t="shared" si="260"/>
        <v>1425.1732889754994</v>
      </c>
      <c r="DN18" s="9">
        <f t="shared" si="261"/>
        <v>94.476650274879574</v>
      </c>
      <c r="DO18" s="9">
        <f t="shared" si="262"/>
        <v>48.960108652388961</v>
      </c>
      <c r="DP18" s="9">
        <f t="shared" si="263"/>
        <v>472.7973202996946</v>
      </c>
      <c r="DQ18" s="9">
        <f t="shared" si="264"/>
        <v>256.76942066276524</v>
      </c>
      <c r="DR18" s="13">
        <f t="shared" si="265"/>
        <v>0.33174725063754867</v>
      </c>
      <c r="DS18" s="13">
        <f t="shared" si="266"/>
        <v>0.18016715767059219</v>
      </c>
      <c r="DT18" s="9">
        <f t="shared" si="267"/>
        <v>240.48261259519708</v>
      </c>
      <c r="DX18" s="286">
        <f>DX1</f>
        <v>27</v>
      </c>
      <c r="DY18" s="287"/>
      <c r="DZ18" s="283" t="s">
        <v>0</v>
      </c>
      <c r="EA18" s="283" t="s">
        <v>1</v>
      </c>
      <c r="EB18" s="283" t="s">
        <v>2</v>
      </c>
      <c r="EC18" s="283" t="s">
        <v>3</v>
      </c>
      <c r="ED18" s="283" t="s">
        <v>4</v>
      </c>
      <c r="EE18" s="283" t="s">
        <v>5</v>
      </c>
      <c r="EF18" s="283" t="s">
        <v>6</v>
      </c>
      <c r="EG18" s="283" t="s">
        <v>7</v>
      </c>
      <c r="EH18" s="283" t="s">
        <v>8</v>
      </c>
      <c r="EI18" s="283" t="s">
        <v>9</v>
      </c>
      <c r="EJ18" s="283" t="s">
        <v>10</v>
      </c>
      <c r="EK18" s="283" t="s">
        <v>11</v>
      </c>
      <c r="EL18" s="283" t="s">
        <v>12</v>
      </c>
      <c r="EM18" s="283" t="s">
        <v>13</v>
      </c>
      <c r="EN18" s="283" t="s">
        <v>14</v>
      </c>
      <c r="EO18" s="283" t="s">
        <v>15</v>
      </c>
      <c r="EP18" s="283" t="s">
        <v>16</v>
      </c>
      <c r="EQ18" s="283" t="s">
        <v>17</v>
      </c>
      <c r="ER18" s="283" t="s">
        <v>18</v>
      </c>
      <c r="ES18" s="283" t="s">
        <v>19</v>
      </c>
      <c r="ET18" s="283" t="s">
        <v>20</v>
      </c>
      <c r="EU18" s="283" t="s">
        <v>23</v>
      </c>
      <c r="EV18" s="282" t="s">
        <v>50</v>
      </c>
      <c r="EW18" s="282" t="s">
        <v>51</v>
      </c>
      <c r="EX18" s="284" t="s">
        <v>79</v>
      </c>
      <c r="EY18" s="284" t="s">
        <v>80</v>
      </c>
      <c r="EZ18" s="282" t="s">
        <v>48</v>
      </c>
      <c r="FA18" s="282" t="s">
        <v>49</v>
      </c>
      <c r="FB18" s="28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42.213810641536782</v>
      </c>
      <c r="BL19" s="10">
        <f>IF(管理者入力シート!$B$14=1,BK16*管理者用人口入力シート!AM$4,IF(管理者入力シート!$B$14=2,BK16*管理者用人口入力シート!AM$8))</f>
        <v>48.609790931643296</v>
      </c>
      <c r="BM19" s="10">
        <f>IF(管理者入力シート!$B$14=1,BL16*管理者用人口入力シート!AN$4,IF(管理者入力シート!$B$14=2,BL16*管理者用人口入力シート!AN$8))</f>
        <v>54.575107213311128</v>
      </c>
      <c r="BN19" s="10">
        <f>IF(管理者入力シート!$B$14=1,BM16*管理者用人口入力シート!AO$4,IF(管理者入力シート!$B$14=2,BM16*管理者用人口入力シート!AO$8))</f>
        <v>52.75704682550117</v>
      </c>
      <c r="BO19" s="10">
        <f>IF(管理者入力シート!$B$14=1,BN16*管理者用人口入力シート!AP$4,IF(管理者入力シート!$B$14=2,BN16*管理者用人口入力シート!AP$8))</f>
        <v>36.420035860030197</v>
      </c>
      <c r="BP19" s="10">
        <f>IF(管理者入力シート!$B$14=1,BO16*管理者用人口入力シート!AQ$4,IF(管理者入力シート!$B$14=2,BO16*管理者用人口入力シート!AQ$8))</f>
        <v>41.83317129009631</v>
      </c>
      <c r="BQ19" s="10">
        <f>IF(管理者入力シート!$B$14=1,BP16*管理者用人口入力シート!AR$4,IF(管理者入力シート!$B$14=2,BP16*管理者用人口入力シート!AR$8))</f>
        <v>47.285004305603849</v>
      </c>
      <c r="BR19" s="10">
        <f>IF(管理者入力シート!$B$14=1,BQ16*管理者用人口入力シート!AS$4,IF(管理者入力シート!$B$14=2,BQ16*管理者用人口入力シート!AS$8))</f>
        <v>66.447886256464329</v>
      </c>
      <c r="BS19" s="10">
        <f>IF(管理者入力シート!$B$14=1,BR16*管理者用人口入力シート!AT$4,IF(管理者入力シート!$B$14=2,BR16*管理者用人口入力シート!AT$8))</f>
        <v>56.684532820461861</v>
      </c>
      <c r="BT19" s="10">
        <f>IF(管理者入力シート!$B$14=1,BS16*管理者用人口入力シート!AU$4,IF(管理者入力シート!$B$14=2,BS16*管理者用人口入力シート!AU$8))</f>
        <v>84.170190846077219</v>
      </c>
      <c r="BU19" s="10">
        <f>IF(管理者入力シート!$B$14=1,BT16*管理者用人口入力シート!AV$4,IF(管理者入力シート!$B$14=2,BT16*管理者用人口入力シート!AV$8))</f>
        <v>87.44025890423498</v>
      </c>
      <c r="BV19" s="10">
        <f>IF(管理者入力シート!$B$14=1,BU16*管理者用人口入力シート!AW$4,IF(管理者入力シート!$B$14=2,BU16*管理者用人口入力シート!AW$8))</f>
        <v>103.43645001678335</v>
      </c>
      <c r="BW19" s="10">
        <f>IF(管理者入力シート!$B$14=1,BV16*管理者用人口入力シート!AX$4,IF(管理者入力シート!$B$14=2,BV16*管理者用人口入力シート!AX$8))</f>
        <v>96.624048816473135</v>
      </c>
      <c r="BX19" s="10">
        <f>IF(管理者入力シート!$B$14=1,BW16*管理者用人口入力シート!AY$4,IF(管理者入力シート!$B$14=2,BW16*管理者用人口入力シート!AY$8))</f>
        <v>107.47653830710574</v>
      </c>
      <c r="BY19" s="10">
        <f>IF(管理者入力シート!$B$14=1,BX16*管理者用人口入力シート!AZ$4,IF(管理者入力シート!$B$14=2,BX16*管理者用人口入力シート!AZ$8))</f>
        <v>122.22028882644301</v>
      </c>
      <c r="BZ19" s="10">
        <f>IF(管理者入力シート!$B$14=1,BY16*管理者用人口入力シート!BA$4,IF(管理者入力シート!$B$14=2,BY16*管理者用人口入力シート!BA$8))</f>
        <v>127.65438824023607</v>
      </c>
      <c r="CA19" s="10">
        <f>IF(管理者入力シート!$B$14=1,BZ16*管理者用人口入力シート!BB$4,IF(管理者入力シート!$B$14=2,BZ16*管理者用人口入力シート!BB$8))</f>
        <v>110.78998804524687</v>
      </c>
      <c r="CB19" s="10">
        <f>IF(管理者入力シート!$B$14=1,CA16*管理者用人口入力シート!BC$4,IF(管理者入力シート!$B$14=2,CA16*管理者用人口入力シート!BC$8))</f>
        <v>76.823005623245777</v>
      </c>
      <c r="CC19" s="10">
        <f>IF(管理者入力シート!$B$14=1,CB16*管理者用人口入力シート!BD$4,IF(管理者入力シート!$B$14=2,CB16*管理者用人口入力シート!BD$8))</f>
        <v>60.172914771118094</v>
      </c>
      <c r="CD19" s="10">
        <f>IF(管理者入力シート!$B$14=1,CC16*管理者用人口入力シート!BE$4,IF(管理者入力シート!$B$14=2,CC16*管理者用人口入力シート!BE$8))</f>
        <v>36.57306615847002</v>
      </c>
      <c r="CE19" s="10">
        <f>IF(管理者入力シート!$B$14=1,CD16*管理者用人口入力シート!BF$4,IF(管理者入力シート!$B$14=2,CD16*管理者用人口入力シート!BF$8))</f>
        <v>8.6690706986772774</v>
      </c>
      <c r="CF19" s="10">
        <f t="shared" si="252"/>
        <v>1468.8765953987609</v>
      </c>
      <c r="CG19" s="10">
        <f t="shared" si="253"/>
        <v>61.910938886972659</v>
      </c>
      <c r="CH19" s="10">
        <f t="shared" si="254"/>
        <v>32.381452250424687</v>
      </c>
      <c r="CI19" s="10">
        <f t="shared" si="255"/>
        <v>650.37926067054298</v>
      </c>
      <c r="CJ19" s="10">
        <f t="shared" si="256"/>
        <v>420.6824335369941</v>
      </c>
      <c r="CK19" s="14">
        <f t="shared" si="257"/>
        <v>0.44277324773765786</v>
      </c>
      <c r="CL19" s="14">
        <f t="shared" si="258"/>
        <v>0.28639739706846512</v>
      </c>
      <c r="CM19" s="10">
        <f t="shared" si="259"/>
        <v>191.98609771219469</v>
      </c>
      <c r="CO19" s="7" t="str">
        <f t="shared" si="26"/>
        <v>2050_2</v>
      </c>
      <c r="CP19" s="29">
        <f>CP18</f>
        <v>2050</v>
      </c>
      <c r="CQ19" s="4" t="s">
        <v>22</v>
      </c>
      <c r="CR19" s="10">
        <f>DT19*$AK$14+将来予測シート②!$H17</f>
        <v>45.535474784474381</v>
      </c>
      <c r="CS19" s="10">
        <f>IF(管理者入力シート!$B$14=1,CR16*管理者用人口入力シート!AM$4,IF(管理者入力シート!$B$14=2,CR16*管理者用人口入力シート!AM$8))+将来予測シート②!$H18</f>
        <v>51.797416085802261</v>
      </c>
      <c r="CT19" s="10">
        <f>IF(管理者入力シート!$B$14=1,CS16*管理者用人口入力シート!AN$4,IF(管理者入力シート!$B$14=2,CS16*管理者用人口入力シート!AN$8))+将来予測シート②!$H19</f>
        <v>58.449267558977887</v>
      </c>
      <c r="CU19" s="10">
        <f>IF(管理者入力シート!$B$14=1,CT16*管理者用人口入力シート!AO$4,IF(管理者入力シート!$B$14=2,CT16*管理者用人口入力シート!AO$8))+将来予測シート②!$H20</f>
        <v>56.02456957133068</v>
      </c>
      <c r="CV19" s="10">
        <f>IF(管理者入力シート!$B$14=1,CU16*管理者用人口入力シート!AP$4,IF(管理者入力シート!$B$14=2,CU16*管理者用人口入力シート!AP$8))+将来予測シート②!$H21</f>
        <v>38.065340469091268</v>
      </c>
      <c r="CW19" s="10">
        <f>IF(管理者入力シート!$B$14=1,CV16*管理者用人口入力シート!AQ$4,IF(管理者入力シート!$B$14=2,CV16*管理者用人口入力シート!AQ$8))+将来予測シート②!$H22</f>
        <v>45.009643849928615</v>
      </c>
      <c r="CX19" s="10">
        <f>IF(管理者入力シート!$B$14=1,CW16*管理者用人口入力シート!AR$4,IF(管理者入力シート!$B$14=2,CW16*管理者用人口入力シート!AR$8))+将来予測シート②!$H23</f>
        <v>50.008270590993106</v>
      </c>
      <c r="CY19" s="10">
        <f>IF(管理者入力シート!$B$14=1,CX16*管理者用人口入力シート!AS$4,IF(管理者入力シート!$B$14=2,CX16*管理者用人口入力シート!AS$8))+将来予測シート②!$H24</f>
        <v>69.461644109788324</v>
      </c>
      <c r="CZ19" s="10">
        <f>IF(管理者入力シート!$B$14=1,CY16*管理者用人口入力シート!AT$4,IF(管理者入力シート!$B$14=2,CY16*管理者用人口入力シート!AT$8))+将来予測シート②!$H25</f>
        <v>59.960202342871369</v>
      </c>
      <c r="DA19" s="10">
        <f>IF(管理者入力シート!$B$14=1,CZ16*管理者用人口入力シート!AU$4,IF(管理者入力シート!$B$14=2,CZ16*管理者用人口入力シート!AU$8))+将来予測シート②!$H26</f>
        <v>87.800900752249504</v>
      </c>
      <c r="DB19" s="10">
        <f>IF(管理者入力シート!$B$14=1,DA16*管理者用人口入力シート!AV$4,IF(管理者入力シート!$B$14=2,DA16*管理者用人口入力シート!AV$8))+将来予測シート②!$H27</f>
        <v>91.12397467853144</v>
      </c>
      <c r="DC19" s="10">
        <f>IF(管理者入力シート!$B$14=1,DB16*管理者用人口入力シート!AW$4,IF(管理者入力シート!$B$14=2,DB16*管理者用人口入力シート!AW$8))+将来予測シート②!$H28</f>
        <v>104.51866893969603</v>
      </c>
      <c r="DD19" s="10">
        <f>IF(管理者入力シート!$B$14=1,DC16*管理者用人口入力シート!AX$4,IF(管理者入力シート!$B$14=2,DC16*管理者用人口入力シート!AX$8))+将来予測シート②!$H29</f>
        <v>97.723071378970943</v>
      </c>
      <c r="DE19" s="10">
        <f>IF(管理者入力シート!$B$14=1,DD16*管理者用人口入力シート!AY$4,IF(管理者入力シート!$B$14=2,DD16*管理者用人口入力シート!AY$8))</f>
        <v>108.57490099409374</v>
      </c>
      <c r="DF19" s="10">
        <f>IF(管理者入力シート!$B$14=1,DE16*管理者用人口入力シート!AZ$4,IF(管理者入力シート!$B$14=2,DE16*管理者用人口入力シート!AZ$8))</f>
        <v>122.22028882644301</v>
      </c>
      <c r="DG19" s="10">
        <f>IF(管理者入力シート!$B$14=1,DF16*管理者用人口入力シート!BA$4,IF(管理者入力シート!$B$14=2,DF16*管理者用人口入力シート!BA$8))</f>
        <v>127.65438824023607</v>
      </c>
      <c r="DH19" s="10">
        <f>IF(管理者入力シート!$B$14=1,DG16*管理者用人口入力シート!BB$4,IF(管理者入力シート!$B$14=2,DG16*管理者用人口入力シート!BB$8))</f>
        <v>110.78998804524687</v>
      </c>
      <c r="DI19" s="10">
        <f>IF(管理者入力シート!$B$14=1,DH16*管理者用人口入力シート!BC$4,IF(管理者入力シート!$B$14=2,DH16*管理者用人口入力シート!BC$8))</f>
        <v>76.823005623245777</v>
      </c>
      <c r="DJ19" s="10">
        <f>IF(管理者入力シート!$B$14=1,DI16*管理者用人口入力シート!BD$4,IF(管理者入力シート!$B$14=2,DI16*管理者用人口入力シート!BD$8))</f>
        <v>60.172914771118094</v>
      </c>
      <c r="DK19" s="10">
        <f>IF(管理者入力シート!$B$14=1,DJ16*管理者用人口入力シート!BE$4,IF(管理者入力シート!$B$14=2,DJ16*管理者用人口入力シート!BE$8))</f>
        <v>36.57306615847002</v>
      </c>
      <c r="DL19" s="10">
        <f>IF(管理者入力シート!$B$14=1,DK16*管理者用人口入力シート!BF$4,IF(管理者入力シート!$B$14=2,DK16*管理者用人口入力シート!BF$8))</f>
        <v>8.6690706986772774</v>
      </c>
      <c r="DM19" s="10">
        <f t="shared" si="260"/>
        <v>1506.9560684702369</v>
      </c>
      <c r="DN19" s="10">
        <f t="shared" si="261"/>
        <v>66.148010186868092</v>
      </c>
      <c r="DO19" s="10">
        <f t="shared" si="262"/>
        <v>34.584620937857295</v>
      </c>
      <c r="DP19" s="10">
        <f t="shared" si="263"/>
        <v>651.47762335753089</v>
      </c>
      <c r="DQ19" s="10">
        <f t="shared" si="264"/>
        <v>420.6824335369941</v>
      </c>
      <c r="DR19" s="14">
        <f t="shared" si="265"/>
        <v>0.43231361350757114</v>
      </c>
      <c r="DS19" s="14">
        <f t="shared" si="266"/>
        <v>0.27916038319819325</v>
      </c>
      <c r="DT19" s="10">
        <f t="shared" si="267"/>
        <v>202.54489901980131</v>
      </c>
      <c r="DX19" s="288"/>
      <c r="DY19" s="289"/>
      <c r="DZ19" s="283"/>
      <c r="EA19" s="283"/>
      <c r="EB19" s="283"/>
      <c r="EC19" s="283"/>
      <c r="ED19" s="283"/>
      <c r="EE19" s="283"/>
      <c r="EF19" s="283"/>
      <c r="EG19" s="283"/>
      <c r="EH19" s="283"/>
      <c r="EI19" s="283"/>
      <c r="EJ19" s="283"/>
      <c r="EK19" s="283"/>
      <c r="EL19" s="283"/>
      <c r="EM19" s="283"/>
      <c r="EN19" s="283"/>
      <c r="EO19" s="283"/>
      <c r="EP19" s="283"/>
      <c r="EQ19" s="283"/>
      <c r="ER19" s="283"/>
      <c r="ES19" s="283"/>
      <c r="ET19" s="283"/>
      <c r="EU19" s="283"/>
      <c r="EV19" s="282"/>
      <c r="EW19" s="282"/>
      <c r="EX19" s="285"/>
      <c r="EY19" s="285"/>
      <c r="EZ19" s="282"/>
      <c r="FA19" s="282"/>
      <c r="FB19" s="28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100.73279119380696</v>
      </c>
      <c r="BL20" s="16">
        <f t="shared" ref="BL20:CE20" si="276">BL18+BL19</f>
        <v>116.45380238638305</v>
      </c>
      <c r="BM20" s="16">
        <f t="shared" si="276"/>
        <v>135.357298561932</v>
      </c>
      <c r="BN20" s="16">
        <f t="shared" si="276"/>
        <v>122.76242951494129</v>
      </c>
      <c r="BO20" s="16">
        <f t="shared" si="276"/>
        <v>89.494708793954857</v>
      </c>
      <c r="BP20" s="16">
        <f t="shared" si="276"/>
        <v>99.12506574159903</v>
      </c>
      <c r="BQ20" s="16">
        <f t="shared" si="276"/>
        <v>113.67838364903238</v>
      </c>
      <c r="BR20" s="16">
        <f t="shared" si="276"/>
        <v>119.58909764191696</v>
      </c>
      <c r="BS20" s="16">
        <f t="shared" si="276"/>
        <v>115.27127593630307</v>
      </c>
      <c r="BT20" s="16">
        <f t="shared" si="276"/>
        <v>149.69629272030221</v>
      </c>
      <c r="BU20" s="16">
        <f t="shared" si="276"/>
        <v>183.94622679283742</v>
      </c>
      <c r="BV20" s="16">
        <f t="shared" si="276"/>
        <v>193.21195958809005</v>
      </c>
      <c r="BW20" s="16">
        <f t="shared" si="276"/>
        <v>197.11324854317076</v>
      </c>
      <c r="BX20" s="16">
        <f t="shared" si="276"/>
        <v>217.21789932655486</v>
      </c>
      <c r="BY20" s="16">
        <f t="shared" si="276"/>
        <v>228.50682744392338</v>
      </c>
      <c r="BZ20" s="16">
        <f t="shared" si="276"/>
        <v>225.40996898941322</v>
      </c>
      <c r="CA20" s="16">
        <f t="shared" si="276"/>
        <v>183.0822840648928</v>
      </c>
      <c r="CB20" s="16">
        <f t="shared" si="276"/>
        <v>122.65962500200334</v>
      </c>
      <c r="CC20" s="16">
        <f t="shared" si="276"/>
        <v>85.549610656826161</v>
      </c>
      <c r="CD20" s="16">
        <f t="shared" si="276"/>
        <v>48.699739763730079</v>
      </c>
      <c r="CE20" s="16">
        <f t="shared" si="276"/>
        <v>12.050625722893711</v>
      </c>
      <c r="CF20" s="11">
        <f t="shared" si="252"/>
        <v>2859.6091620345078</v>
      </c>
      <c r="CG20" s="11">
        <f t="shared" si="253"/>
        <v>151.08666056898903</v>
      </c>
      <c r="CH20" s="11">
        <f t="shared" si="254"/>
        <v>78.695405327761051</v>
      </c>
      <c r="CI20" s="11">
        <f t="shared" si="255"/>
        <v>1123.1765809702376</v>
      </c>
      <c r="CJ20" s="11">
        <f t="shared" si="256"/>
        <v>677.45185419975951</v>
      </c>
      <c r="CK20" s="15">
        <f t="shared" si="257"/>
        <v>0.39277275925747085</v>
      </c>
      <c r="CL20" s="15">
        <f t="shared" si="258"/>
        <v>0.23690365214726658</v>
      </c>
      <c r="CM20" s="11">
        <f t="shared" si="259"/>
        <v>421.88725582650324</v>
      </c>
      <c r="CO20" s="7" t="str">
        <f t="shared" si="26"/>
        <v>2050_3</v>
      </c>
      <c r="CP20" s="30">
        <f>CP19</f>
        <v>2050</v>
      </c>
      <c r="CQ20" s="5" t="s">
        <v>23</v>
      </c>
      <c r="CR20" s="16">
        <f>CR18+CR19</f>
        <v>108.27286695997256</v>
      </c>
      <c r="CS20" s="16">
        <f t="shared" ref="CS20:DL20" si="277">CS18+CS19</f>
        <v>123.66663529805123</v>
      </c>
      <c r="CT20" s="16">
        <f t="shared" si="277"/>
        <v>144.04113213819491</v>
      </c>
      <c r="CU20" s="16">
        <f t="shared" si="277"/>
        <v>129.64138367484148</v>
      </c>
      <c r="CV20" s="16">
        <f t="shared" si="277"/>
        <v>93.047389717203259</v>
      </c>
      <c r="CW20" s="16">
        <f t="shared" si="277"/>
        <v>105.42832317501808</v>
      </c>
      <c r="CX20" s="16">
        <f t="shared" si="277"/>
        <v>119.14762087772854</v>
      </c>
      <c r="CY20" s="16">
        <f t="shared" si="277"/>
        <v>125.40417784504851</v>
      </c>
      <c r="CZ20" s="16">
        <f t="shared" si="277"/>
        <v>120.82548985584145</v>
      </c>
      <c r="DA20" s="16">
        <f t="shared" si="277"/>
        <v>155.77329660598144</v>
      </c>
      <c r="DB20" s="16">
        <f t="shared" si="277"/>
        <v>190.09964802395768</v>
      </c>
      <c r="DC20" s="16">
        <f t="shared" si="277"/>
        <v>194.29417851100274</v>
      </c>
      <c r="DD20" s="16">
        <f t="shared" si="277"/>
        <v>198.21227110566855</v>
      </c>
      <c r="DE20" s="16">
        <f t="shared" si="277"/>
        <v>218.31626201354288</v>
      </c>
      <c r="DF20" s="16">
        <f t="shared" si="277"/>
        <v>228.50682744392338</v>
      </c>
      <c r="DG20" s="16">
        <f t="shared" si="277"/>
        <v>225.40996898941322</v>
      </c>
      <c r="DH20" s="16">
        <f t="shared" si="277"/>
        <v>183.0822840648928</v>
      </c>
      <c r="DI20" s="16">
        <f t="shared" si="277"/>
        <v>122.65962500200334</v>
      </c>
      <c r="DJ20" s="16">
        <f t="shared" si="277"/>
        <v>85.549610656826161</v>
      </c>
      <c r="DK20" s="16">
        <f t="shared" si="277"/>
        <v>48.699739763730079</v>
      </c>
      <c r="DL20" s="16">
        <f t="shared" si="277"/>
        <v>12.050625722893711</v>
      </c>
      <c r="DM20" s="11">
        <f t="shared" si="260"/>
        <v>2932.1293574457359</v>
      </c>
      <c r="DN20" s="11">
        <f t="shared" si="261"/>
        <v>160.62466046174768</v>
      </c>
      <c r="DO20" s="11">
        <f t="shared" si="262"/>
        <v>83.544729590246263</v>
      </c>
      <c r="DP20" s="11">
        <f t="shared" si="263"/>
        <v>1124.2749436572258</v>
      </c>
      <c r="DQ20" s="11">
        <f t="shared" si="264"/>
        <v>677.45185419975951</v>
      </c>
      <c r="DR20" s="15">
        <f t="shared" si="265"/>
        <v>0.38343292761019748</v>
      </c>
      <c r="DS20" s="15">
        <f t="shared" si="266"/>
        <v>0.23104432704493902</v>
      </c>
      <c r="DT20" s="11">
        <f t="shared" si="267"/>
        <v>443.02751161499839</v>
      </c>
      <c r="DX20" s="28">
        <f>DX3</f>
        <v>2025</v>
      </c>
      <c r="DY20" s="3" t="s">
        <v>21</v>
      </c>
      <c r="DZ20" s="9">
        <f t="shared" ref="DZ20:ET20" si="278">ROUND(DZ3,0)</f>
        <v>95</v>
      </c>
      <c r="EA20" s="9">
        <f t="shared" si="278"/>
        <v>111</v>
      </c>
      <c r="EB20" s="9">
        <f t="shared" si="278"/>
        <v>91</v>
      </c>
      <c r="EC20" s="9">
        <f t="shared" si="278"/>
        <v>77</v>
      </c>
      <c r="ED20" s="9">
        <f t="shared" si="278"/>
        <v>54</v>
      </c>
      <c r="EE20" s="9">
        <f t="shared" si="278"/>
        <v>105</v>
      </c>
      <c r="EF20" s="9">
        <f t="shared" si="278"/>
        <v>110</v>
      </c>
      <c r="EG20" s="9">
        <f t="shared" si="278"/>
        <v>126</v>
      </c>
      <c r="EH20" s="9">
        <f t="shared" si="278"/>
        <v>111</v>
      </c>
      <c r="EI20" s="9">
        <f t="shared" si="278"/>
        <v>127</v>
      </c>
      <c r="EJ20" s="9">
        <f t="shared" si="278"/>
        <v>135</v>
      </c>
      <c r="EK20" s="9">
        <f t="shared" si="278"/>
        <v>115</v>
      </c>
      <c r="EL20" s="9">
        <f t="shared" si="278"/>
        <v>115</v>
      </c>
      <c r="EM20" s="9">
        <f t="shared" si="278"/>
        <v>155</v>
      </c>
      <c r="EN20" s="9">
        <f t="shared" si="278"/>
        <v>165</v>
      </c>
      <c r="EO20" s="9">
        <f t="shared" si="278"/>
        <v>155</v>
      </c>
      <c r="EP20" s="9">
        <f t="shared" si="278"/>
        <v>124</v>
      </c>
      <c r="EQ20" s="9">
        <f t="shared" si="278"/>
        <v>68</v>
      </c>
      <c r="ER20" s="9">
        <f t="shared" si="278"/>
        <v>29</v>
      </c>
      <c r="ES20" s="9">
        <f t="shared" si="278"/>
        <v>12</v>
      </c>
      <c r="ET20" s="9">
        <f t="shared" si="278"/>
        <v>2</v>
      </c>
      <c r="EU20" s="9">
        <f t="shared" ref="EU20:EU21" si="279">SUM(DZ20:ET20)</f>
        <v>2082</v>
      </c>
      <c r="EV20" s="9">
        <f>EA20*3/5+EB20*3/5</f>
        <v>121.19999999999999</v>
      </c>
      <c r="EW20" s="9">
        <f>EB20*2/5+EC20*1/5</f>
        <v>51.8</v>
      </c>
      <c r="EX20" s="9">
        <f t="shared" ref="EX20:EX31" si="280">SUM(EM20:ET20)</f>
        <v>710</v>
      </c>
      <c r="EY20" s="9">
        <f>SUM(EO20:ET20)</f>
        <v>390</v>
      </c>
      <c r="EZ20" s="13">
        <f>EX20/EU20</f>
        <v>0.34101825168107591</v>
      </c>
      <c r="FA20" s="13">
        <f>EY20/EU20</f>
        <v>0.18731988472622479</v>
      </c>
      <c r="FB20" s="9">
        <f>SUM(ED20:EG20)</f>
        <v>395</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69</v>
      </c>
      <c r="EA21" s="10">
        <f t="shared" si="281"/>
        <v>80</v>
      </c>
      <c r="EB21" s="10">
        <f t="shared" si="281"/>
        <v>100</v>
      </c>
      <c r="EC21" s="10">
        <f t="shared" si="281"/>
        <v>77</v>
      </c>
      <c r="ED21" s="10">
        <f t="shared" si="281"/>
        <v>63</v>
      </c>
      <c r="EE21" s="10">
        <f t="shared" si="281"/>
        <v>95</v>
      </c>
      <c r="EF21" s="10">
        <f t="shared" si="281"/>
        <v>116</v>
      </c>
      <c r="EG21" s="10">
        <f t="shared" si="281"/>
        <v>118</v>
      </c>
      <c r="EH21" s="10">
        <f t="shared" si="281"/>
        <v>98</v>
      </c>
      <c r="EI21" s="10">
        <f t="shared" si="281"/>
        <v>127</v>
      </c>
      <c r="EJ21" s="10">
        <f t="shared" si="281"/>
        <v>143</v>
      </c>
      <c r="EK21" s="10">
        <f t="shared" si="281"/>
        <v>135</v>
      </c>
      <c r="EL21" s="10">
        <f t="shared" si="281"/>
        <v>116</v>
      </c>
      <c r="EM21" s="10">
        <f t="shared" si="281"/>
        <v>153</v>
      </c>
      <c r="EN21" s="10">
        <f t="shared" si="281"/>
        <v>201</v>
      </c>
      <c r="EO21" s="10">
        <f t="shared" si="281"/>
        <v>225</v>
      </c>
      <c r="EP21" s="10">
        <f t="shared" si="281"/>
        <v>145</v>
      </c>
      <c r="EQ21" s="10">
        <f t="shared" si="281"/>
        <v>125</v>
      </c>
      <c r="ER21" s="10">
        <f t="shared" si="281"/>
        <v>93</v>
      </c>
      <c r="ES21" s="10">
        <f t="shared" si="281"/>
        <v>34</v>
      </c>
      <c r="ET21" s="10">
        <f t="shared" si="281"/>
        <v>7</v>
      </c>
      <c r="EU21" s="10">
        <f t="shared" si="279"/>
        <v>2320</v>
      </c>
      <c r="EV21" s="10">
        <f t="shared" ref="EV21:EV31" si="282">EA21*3/5+EB21*3/5</f>
        <v>108</v>
      </c>
      <c r="EW21" s="10">
        <f t="shared" ref="EW21:EW31" si="283">EB21*2/5+EC21*1/5</f>
        <v>55.4</v>
      </c>
      <c r="EX21" s="10">
        <f t="shared" si="280"/>
        <v>983</v>
      </c>
      <c r="EY21" s="10">
        <f t="shared" ref="EY21:EY31" si="284">SUM(EO21:ET21)</f>
        <v>629</v>
      </c>
      <c r="EZ21" s="14">
        <f t="shared" ref="EZ21:EZ31" si="285">EX21/EU21</f>
        <v>0.42370689655172411</v>
      </c>
      <c r="FA21" s="14">
        <f t="shared" ref="FA21:FA31" si="286">EY21/EU21</f>
        <v>0.27112068965517239</v>
      </c>
      <c r="FB21" s="10">
        <f>SUM(ED21:EG21)</f>
        <v>392</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164</v>
      </c>
      <c r="EA22" s="16">
        <f t="shared" ref="EA22:ET22" si="287">EA20+EA21</f>
        <v>191</v>
      </c>
      <c r="EB22" s="16">
        <f t="shared" si="287"/>
        <v>191</v>
      </c>
      <c r="EC22" s="16">
        <f t="shared" si="287"/>
        <v>154</v>
      </c>
      <c r="ED22" s="16">
        <f t="shared" si="287"/>
        <v>117</v>
      </c>
      <c r="EE22" s="16">
        <f t="shared" si="287"/>
        <v>200</v>
      </c>
      <c r="EF22" s="16">
        <f t="shared" si="287"/>
        <v>226</v>
      </c>
      <c r="EG22" s="16">
        <f t="shared" si="287"/>
        <v>244</v>
      </c>
      <c r="EH22" s="16">
        <f t="shared" si="287"/>
        <v>209</v>
      </c>
      <c r="EI22" s="16">
        <f t="shared" si="287"/>
        <v>254</v>
      </c>
      <c r="EJ22" s="16">
        <f t="shared" si="287"/>
        <v>278</v>
      </c>
      <c r="EK22" s="16">
        <f t="shared" si="287"/>
        <v>250</v>
      </c>
      <c r="EL22" s="16">
        <f t="shared" si="287"/>
        <v>231</v>
      </c>
      <c r="EM22" s="16">
        <f t="shared" si="287"/>
        <v>308</v>
      </c>
      <c r="EN22" s="16">
        <f t="shared" si="287"/>
        <v>366</v>
      </c>
      <c r="EO22" s="16">
        <f t="shared" si="287"/>
        <v>380</v>
      </c>
      <c r="EP22" s="16">
        <f t="shared" si="287"/>
        <v>269</v>
      </c>
      <c r="EQ22" s="16">
        <f t="shared" si="287"/>
        <v>193</v>
      </c>
      <c r="ER22" s="16">
        <f t="shared" si="287"/>
        <v>122</v>
      </c>
      <c r="ES22" s="16">
        <f t="shared" si="287"/>
        <v>46</v>
      </c>
      <c r="ET22" s="16">
        <f t="shared" si="287"/>
        <v>9</v>
      </c>
      <c r="EU22" s="11">
        <f>SUM(DZ22:ET22)</f>
        <v>4402</v>
      </c>
      <c r="EV22" s="11">
        <f t="shared" si="282"/>
        <v>229.2</v>
      </c>
      <c r="EW22" s="11">
        <f t="shared" si="283"/>
        <v>107.2</v>
      </c>
      <c r="EX22" s="11">
        <f t="shared" si="280"/>
        <v>1693</v>
      </c>
      <c r="EY22" s="11">
        <f t="shared" si="284"/>
        <v>1019</v>
      </c>
      <c r="EZ22" s="15">
        <f t="shared" si="285"/>
        <v>0.3845979100408905</v>
      </c>
      <c r="FA22" s="15">
        <f t="shared" si="286"/>
        <v>0.23148568832348931</v>
      </c>
      <c r="FB22" s="11">
        <f>SUM(ED22:EG22)</f>
        <v>787</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129</v>
      </c>
      <c r="EA23" s="9">
        <f t="shared" si="288"/>
        <v>104</v>
      </c>
      <c r="EB23" s="9">
        <f t="shared" si="288"/>
        <v>117</v>
      </c>
      <c r="EC23" s="9">
        <f t="shared" si="288"/>
        <v>72</v>
      </c>
      <c r="ED23" s="9">
        <f t="shared" si="288"/>
        <v>52</v>
      </c>
      <c r="EE23" s="9">
        <f t="shared" si="288"/>
        <v>81</v>
      </c>
      <c r="EF23" s="9">
        <f t="shared" si="288"/>
        <v>141</v>
      </c>
      <c r="EG23" s="9">
        <f t="shared" si="288"/>
        <v>139</v>
      </c>
      <c r="EH23" s="9">
        <f t="shared" si="288"/>
        <v>129</v>
      </c>
      <c r="EI23" s="9">
        <f t="shared" si="288"/>
        <v>119</v>
      </c>
      <c r="EJ23" s="9">
        <f t="shared" si="288"/>
        <v>128</v>
      </c>
      <c r="EK23" s="9">
        <f t="shared" si="288"/>
        <v>129</v>
      </c>
      <c r="EL23" s="9">
        <f t="shared" si="288"/>
        <v>110</v>
      </c>
      <c r="EM23" s="9">
        <f t="shared" si="288"/>
        <v>115</v>
      </c>
      <c r="EN23" s="9">
        <f t="shared" si="288"/>
        <v>141</v>
      </c>
      <c r="EO23" s="9">
        <f t="shared" si="288"/>
        <v>144</v>
      </c>
      <c r="EP23" s="9">
        <f t="shared" si="288"/>
        <v>129</v>
      </c>
      <c r="EQ23" s="9">
        <f t="shared" si="288"/>
        <v>75</v>
      </c>
      <c r="ER23" s="9">
        <f t="shared" si="288"/>
        <v>28</v>
      </c>
      <c r="ES23" s="9">
        <f t="shared" si="288"/>
        <v>12</v>
      </c>
      <c r="ET23" s="9">
        <f t="shared" si="288"/>
        <v>3</v>
      </c>
      <c r="EU23" s="9">
        <f t="shared" ref="EU23:EU31" si="289">SUM(DZ23:ET23)</f>
        <v>2097</v>
      </c>
      <c r="EV23" s="9">
        <f t="shared" si="282"/>
        <v>132.6</v>
      </c>
      <c r="EW23" s="9">
        <f t="shared" si="283"/>
        <v>61.199999999999996</v>
      </c>
      <c r="EX23" s="9">
        <f t="shared" si="280"/>
        <v>647</v>
      </c>
      <c r="EY23" s="9">
        <f t="shared" si="284"/>
        <v>391</v>
      </c>
      <c r="EZ23" s="13">
        <f t="shared" si="285"/>
        <v>0.30853600381497376</v>
      </c>
      <c r="FA23" s="13">
        <f t="shared" si="286"/>
        <v>0.18645684310920363</v>
      </c>
      <c r="FB23" s="9">
        <f t="shared" ref="FB23:FB31" si="290">SUM(ED23:EG23)</f>
        <v>413</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93</v>
      </c>
      <c r="EA24" s="10">
        <f t="shared" si="291"/>
        <v>75</v>
      </c>
      <c r="EB24" s="10">
        <f t="shared" si="291"/>
        <v>79</v>
      </c>
      <c r="EC24" s="10">
        <f t="shared" si="291"/>
        <v>87</v>
      </c>
      <c r="ED24" s="10">
        <f t="shared" si="291"/>
        <v>47</v>
      </c>
      <c r="EE24" s="10">
        <f t="shared" si="291"/>
        <v>94</v>
      </c>
      <c r="EF24" s="10">
        <f t="shared" si="291"/>
        <v>128</v>
      </c>
      <c r="EG24" s="10">
        <f t="shared" si="291"/>
        <v>156</v>
      </c>
      <c r="EH24" s="10">
        <f t="shared" si="291"/>
        <v>114</v>
      </c>
      <c r="EI24" s="10">
        <f t="shared" si="291"/>
        <v>108</v>
      </c>
      <c r="EJ24" s="10">
        <f t="shared" si="291"/>
        <v>129</v>
      </c>
      <c r="EK24" s="10">
        <f t="shared" si="291"/>
        <v>138</v>
      </c>
      <c r="EL24" s="10">
        <f t="shared" si="291"/>
        <v>137</v>
      </c>
      <c r="EM24" s="10">
        <f t="shared" si="291"/>
        <v>116</v>
      </c>
      <c r="EN24" s="10">
        <f t="shared" si="291"/>
        <v>148</v>
      </c>
      <c r="EO24" s="10">
        <f t="shared" si="291"/>
        <v>190</v>
      </c>
      <c r="EP24" s="10">
        <f t="shared" si="291"/>
        <v>199</v>
      </c>
      <c r="EQ24" s="10">
        <f t="shared" si="291"/>
        <v>118</v>
      </c>
      <c r="ER24" s="10">
        <f t="shared" si="291"/>
        <v>74</v>
      </c>
      <c r="ES24" s="10">
        <f t="shared" si="291"/>
        <v>42</v>
      </c>
      <c r="ET24" s="10">
        <f t="shared" si="291"/>
        <v>7</v>
      </c>
      <c r="EU24" s="10">
        <f t="shared" si="289"/>
        <v>2279</v>
      </c>
      <c r="EV24" s="10">
        <f t="shared" si="282"/>
        <v>92.4</v>
      </c>
      <c r="EW24" s="10">
        <f t="shared" si="283"/>
        <v>49</v>
      </c>
      <c r="EX24" s="10">
        <f t="shared" si="280"/>
        <v>894</v>
      </c>
      <c r="EY24" s="10">
        <f t="shared" si="284"/>
        <v>630</v>
      </c>
      <c r="EZ24" s="14">
        <f t="shared" si="285"/>
        <v>0.39227731461167181</v>
      </c>
      <c r="FA24" s="14">
        <f t="shared" si="286"/>
        <v>0.27643703378674855</v>
      </c>
      <c r="FB24" s="10">
        <f t="shared" si="290"/>
        <v>425</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222</v>
      </c>
      <c r="EA25" s="16">
        <f t="shared" ref="EA25:ET25" si="292">EA23+EA24</f>
        <v>179</v>
      </c>
      <c r="EB25" s="16">
        <f t="shared" si="292"/>
        <v>196</v>
      </c>
      <c r="EC25" s="16">
        <f t="shared" si="292"/>
        <v>159</v>
      </c>
      <c r="ED25" s="16">
        <f t="shared" si="292"/>
        <v>99</v>
      </c>
      <c r="EE25" s="16">
        <f t="shared" si="292"/>
        <v>175</v>
      </c>
      <c r="EF25" s="16">
        <f t="shared" si="292"/>
        <v>269</v>
      </c>
      <c r="EG25" s="16">
        <f t="shared" si="292"/>
        <v>295</v>
      </c>
      <c r="EH25" s="16">
        <f t="shared" si="292"/>
        <v>243</v>
      </c>
      <c r="EI25" s="16">
        <f t="shared" si="292"/>
        <v>227</v>
      </c>
      <c r="EJ25" s="16">
        <f t="shared" si="292"/>
        <v>257</v>
      </c>
      <c r="EK25" s="16">
        <f t="shared" si="292"/>
        <v>267</v>
      </c>
      <c r="EL25" s="16">
        <f t="shared" si="292"/>
        <v>247</v>
      </c>
      <c r="EM25" s="16">
        <f t="shared" si="292"/>
        <v>231</v>
      </c>
      <c r="EN25" s="16">
        <f t="shared" si="292"/>
        <v>289</v>
      </c>
      <c r="EO25" s="16">
        <f t="shared" si="292"/>
        <v>334</v>
      </c>
      <c r="EP25" s="16">
        <f t="shared" si="292"/>
        <v>328</v>
      </c>
      <c r="EQ25" s="16">
        <f t="shared" si="292"/>
        <v>193</v>
      </c>
      <c r="ER25" s="16">
        <f t="shared" si="292"/>
        <v>102</v>
      </c>
      <c r="ES25" s="16">
        <f t="shared" si="292"/>
        <v>54</v>
      </c>
      <c r="ET25" s="16">
        <f t="shared" si="292"/>
        <v>10</v>
      </c>
      <c r="EU25" s="11">
        <f t="shared" si="289"/>
        <v>4376</v>
      </c>
      <c r="EV25" s="11">
        <f t="shared" si="282"/>
        <v>225</v>
      </c>
      <c r="EW25" s="11">
        <f t="shared" si="283"/>
        <v>110.2</v>
      </c>
      <c r="EX25" s="11">
        <f t="shared" si="280"/>
        <v>1541</v>
      </c>
      <c r="EY25" s="11">
        <f t="shared" si="284"/>
        <v>1021</v>
      </c>
      <c r="EZ25" s="15">
        <f t="shared" si="285"/>
        <v>0.35214808043875684</v>
      </c>
      <c r="FA25" s="15">
        <f t="shared" si="286"/>
        <v>0.23331809872029249</v>
      </c>
      <c r="FB25" s="11">
        <f t="shared" si="290"/>
        <v>838</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130</v>
      </c>
      <c r="EA26" s="9">
        <f t="shared" si="293"/>
        <v>142</v>
      </c>
      <c r="EB26" s="9">
        <f t="shared" si="293"/>
        <v>109</v>
      </c>
      <c r="EC26" s="9">
        <f t="shared" si="293"/>
        <v>91</v>
      </c>
      <c r="ED26" s="9">
        <f t="shared" si="293"/>
        <v>48</v>
      </c>
      <c r="EE26" s="9">
        <f t="shared" si="293"/>
        <v>78</v>
      </c>
      <c r="EF26" s="9">
        <f t="shared" si="293"/>
        <v>115</v>
      </c>
      <c r="EG26" s="9">
        <f t="shared" si="293"/>
        <v>171</v>
      </c>
      <c r="EH26" s="9">
        <f t="shared" si="293"/>
        <v>143</v>
      </c>
      <c r="EI26" s="9">
        <f t="shared" si="293"/>
        <v>139</v>
      </c>
      <c r="EJ26" s="9">
        <f t="shared" si="293"/>
        <v>120</v>
      </c>
      <c r="EK26" s="9">
        <f t="shared" si="293"/>
        <v>122</v>
      </c>
      <c r="EL26" s="9">
        <f t="shared" si="293"/>
        <v>123</v>
      </c>
      <c r="EM26" s="9">
        <f t="shared" si="293"/>
        <v>110</v>
      </c>
      <c r="EN26" s="9">
        <f t="shared" si="293"/>
        <v>104</v>
      </c>
      <c r="EO26" s="9">
        <f t="shared" si="293"/>
        <v>124</v>
      </c>
      <c r="EP26" s="9">
        <f t="shared" si="293"/>
        <v>120</v>
      </c>
      <c r="EQ26" s="9">
        <f t="shared" si="293"/>
        <v>78</v>
      </c>
      <c r="ER26" s="9">
        <f t="shared" si="293"/>
        <v>31</v>
      </c>
      <c r="ES26" s="9">
        <f t="shared" si="293"/>
        <v>11</v>
      </c>
      <c r="ET26" s="9">
        <f t="shared" si="293"/>
        <v>3</v>
      </c>
      <c r="EU26" s="9">
        <f t="shared" si="289"/>
        <v>2112</v>
      </c>
      <c r="EV26" s="9">
        <f t="shared" si="282"/>
        <v>150.60000000000002</v>
      </c>
      <c r="EW26" s="9">
        <f t="shared" si="283"/>
        <v>61.8</v>
      </c>
      <c r="EX26" s="9">
        <f t="shared" si="280"/>
        <v>581</v>
      </c>
      <c r="EY26" s="9">
        <f t="shared" si="284"/>
        <v>367</v>
      </c>
      <c r="EZ26" s="13">
        <f t="shared" si="285"/>
        <v>0.27509469696969696</v>
      </c>
      <c r="FA26" s="13">
        <f t="shared" si="286"/>
        <v>0.17376893939393939</v>
      </c>
      <c r="FB26" s="9">
        <f t="shared" si="290"/>
        <v>412</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94</v>
      </c>
      <c r="EA27" s="10">
        <f t="shared" si="294"/>
        <v>102</v>
      </c>
      <c r="EB27" s="10">
        <f t="shared" si="294"/>
        <v>74</v>
      </c>
      <c r="EC27" s="10">
        <f t="shared" si="294"/>
        <v>69</v>
      </c>
      <c r="ED27" s="10">
        <f t="shared" si="294"/>
        <v>54</v>
      </c>
      <c r="EE27" s="10">
        <f t="shared" si="294"/>
        <v>77</v>
      </c>
      <c r="EF27" s="10">
        <f t="shared" si="294"/>
        <v>126</v>
      </c>
      <c r="EG27" s="10">
        <f t="shared" si="294"/>
        <v>169</v>
      </c>
      <c r="EH27" s="10">
        <f t="shared" si="294"/>
        <v>151</v>
      </c>
      <c r="EI27" s="10">
        <f t="shared" si="294"/>
        <v>126</v>
      </c>
      <c r="EJ27" s="10">
        <f t="shared" si="294"/>
        <v>110</v>
      </c>
      <c r="EK27" s="10">
        <f t="shared" si="294"/>
        <v>124</v>
      </c>
      <c r="EL27" s="10">
        <f t="shared" si="294"/>
        <v>140</v>
      </c>
      <c r="EM27" s="10">
        <f t="shared" si="294"/>
        <v>137</v>
      </c>
      <c r="EN27" s="10">
        <f t="shared" si="294"/>
        <v>112</v>
      </c>
      <c r="EO27" s="10">
        <f t="shared" si="294"/>
        <v>140</v>
      </c>
      <c r="EP27" s="10">
        <f t="shared" si="294"/>
        <v>169</v>
      </c>
      <c r="EQ27" s="10">
        <f t="shared" si="294"/>
        <v>163</v>
      </c>
      <c r="ER27" s="10">
        <f t="shared" si="294"/>
        <v>70</v>
      </c>
      <c r="ES27" s="10">
        <f t="shared" si="294"/>
        <v>33</v>
      </c>
      <c r="ET27" s="10">
        <f t="shared" si="294"/>
        <v>8</v>
      </c>
      <c r="EU27" s="10">
        <f t="shared" si="289"/>
        <v>2248</v>
      </c>
      <c r="EV27" s="10">
        <f t="shared" si="282"/>
        <v>105.6</v>
      </c>
      <c r="EW27" s="10">
        <f t="shared" si="283"/>
        <v>43.400000000000006</v>
      </c>
      <c r="EX27" s="10">
        <f t="shared" si="280"/>
        <v>832</v>
      </c>
      <c r="EY27" s="10">
        <f t="shared" si="284"/>
        <v>583</v>
      </c>
      <c r="EZ27" s="14">
        <f t="shared" si="285"/>
        <v>0.37010676156583627</v>
      </c>
      <c r="FA27" s="14">
        <f t="shared" si="286"/>
        <v>0.25934163701067614</v>
      </c>
      <c r="FB27" s="10">
        <f t="shared" si="290"/>
        <v>426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224</v>
      </c>
      <c r="EA28" s="16">
        <f t="shared" ref="EA28:ET28" si="295">EA26+EA27</f>
        <v>244</v>
      </c>
      <c r="EB28" s="16">
        <f t="shared" si="295"/>
        <v>183</v>
      </c>
      <c r="EC28" s="16">
        <f t="shared" si="295"/>
        <v>160</v>
      </c>
      <c r="ED28" s="16">
        <f t="shared" si="295"/>
        <v>102</v>
      </c>
      <c r="EE28" s="16">
        <f t="shared" si="295"/>
        <v>155</v>
      </c>
      <c r="EF28" s="16">
        <f t="shared" si="295"/>
        <v>241</v>
      </c>
      <c r="EG28" s="16">
        <f t="shared" si="295"/>
        <v>340</v>
      </c>
      <c r="EH28" s="16">
        <f t="shared" si="295"/>
        <v>294</v>
      </c>
      <c r="EI28" s="16">
        <f t="shared" si="295"/>
        <v>265</v>
      </c>
      <c r="EJ28" s="16">
        <f t="shared" si="295"/>
        <v>230</v>
      </c>
      <c r="EK28" s="16">
        <f t="shared" si="295"/>
        <v>246</v>
      </c>
      <c r="EL28" s="16">
        <f t="shared" si="295"/>
        <v>263</v>
      </c>
      <c r="EM28" s="16">
        <f t="shared" si="295"/>
        <v>247</v>
      </c>
      <c r="EN28" s="16">
        <f t="shared" si="295"/>
        <v>216</v>
      </c>
      <c r="EO28" s="16">
        <f t="shared" si="295"/>
        <v>264</v>
      </c>
      <c r="EP28" s="16">
        <f t="shared" si="295"/>
        <v>289</v>
      </c>
      <c r="EQ28" s="16">
        <f t="shared" si="295"/>
        <v>241</v>
      </c>
      <c r="ER28" s="16">
        <f t="shared" si="295"/>
        <v>101</v>
      </c>
      <c r="ES28" s="16">
        <f t="shared" si="295"/>
        <v>44</v>
      </c>
      <c r="ET28" s="16">
        <f t="shared" si="295"/>
        <v>11</v>
      </c>
      <c r="EU28" s="11">
        <f t="shared" si="289"/>
        <v>4360</v>
      </c>
      <c r="EV28" s="11">
        <f t="shared" si="282"/>
        <v>256.2</v>
      </c>
      <c r="EW28" s="11">
        <f t="shared" si="283"/>
        <v>105.2</v>
      </c>
      <c r="EX28" s="11">
        <f t="shared" si="280"/>
        <v>1413</v>
      </c>
      <c r="EY28" s="11">
        <f t="shared" si="284"/>
        <v>950</v>
      </c>
      <c r="EZ28" s="15">
        <f t="shared" si="285"/>
        <v>0.32408256880733943</v>
      </c>
      <c r="FA28" s="15">
        <f t="shared" si="286"/>
        <v>0.21788990825688073</v>
      </c>
      <c r="FB28" s="11">
        <f t="shared" si="290"/>
        <v>838</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122</v>
      </c>
      <c r="EA29" s="9">
        <f t="shared" si="296"/>
        <v>142</v>
      </c>
      <c r="EB29" s="9">
        <f t="shared" si="296"/>
        <v>149</v>
      </c>
      <c r="EC29" s="9">
        <f t="shared" si="296"/>
        <v>86</v>
      </c>
      <c r="ED29" s="9">
        <f t="shared" si="296"/>
        <v>62</v>
      </c>
      <c r="EE29" s="9">
        <f t="shared" si="296"/>
        <v>75</v>
      </c>
      <c r="EF29" s="9">
        <f t="shared" si="296"/>
        <v>112</v>
      </c>
      <c r="EG29" s="9">
        <f t="shared" si="296"/>
        <v>144</v>
      </c>
      <c r="EH29" s="9">
        <f t="shared" si="296"/>
        <v>176</v>
      </c>
      <c r="EI29" s="9">
        <f t="shared" si="296"/>
        <v>153</v>
      </c>
      <c r="EJ29" s="9">
        <f t="shared" si="296"/>
        <v>140</v>
      </c>
      <c r="EK29" s="9">
        <f t="shared" si="296"/>
        <v>115</v>
      </c>
      <c r="EL29" s="9">
        <f t="shared" si="296"/>
        <v>117</v>
      </c>
      <c r="EM29" s="9">
        <f t="shared" si="296"/>
        <v>123</v>
      </c>
      <c r="EN29" s="9">
        <f t="shared" si="296"/>
        <v>100</v>
      </c>
      <c r="EO29" s="9">
        <f t="shared" si="296"/>
        <v>91</v>
      </c>
      <c r="EP29" s="9">
        <f t="shared" si="296"/>
        <v>102</v>
      </c>
      <c r="EQ29" s="9">
        <f t="shared" si="296"/>
        <v>72</v>
      </c>
      <c r="ER29" s="9">
        <f t="shared" si="296"/>
        <v>32</v>
      </c>
      <c r="ES29" s="9">
        <f t="shared" si="296"/>
        <v>13</v>
      </c>
      <c r="ET29" s="9">
        <f t="shared" si="296"/>
        <v>3</v>
      </c>
      <c r="EU29" s="9">
        <f t="shared" si="289"/>
        <v>2129</v>
      </c>
      <c r="EV29" s="9">
        <f t="shared" si="282"/>
        <v>174.60000000000002</v>
      </c>
      <c r="EW29" s="9">
        <f t="shared" si="283"/>
        <v>76.8</v>
      </c>
      <c r="EX29" s="9">
        <f t="shared" si="280"/>
        <v>536</v>
      </c>
      <c r="EY29" s="9">
        <f t="shared" si="284"/>
        <v>313</v>
      </c>
      <c r="EZ29" s="13">
        <f t="shared" si="285"/>
        <v>0.25176139032409584</v>
      </c>
      <c r="FA29" s="13">
        <f t="shared" si="286"/>
        <v>0.14701737905119774</v>
      </c>
      <c r="FB29" s="9">
        <f t="shared" si="290"/>
        <v>393</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88</v>
      </c>
      <c r="EA30" s="10">
        <f t="shared" si="297"/>
        <v>102</v>
      </c>
      <c r="EB30" s="10">
        <f t="shared" si="297"/>
        <v>101</v>
      </c>
      <c r="EC30" s="10">
        <f t="shared" si="297"/>
        <v>65</v>
      </c>
      <c r="ED30" s="10">
        <f t="shared" si="297"/>
        <v>42</v>
      </c>
      <c r="EE30" s="10">
        <f t="shared" si="297"/>
        <v>84</v>
      </c>
      <c r="EF30" s="10">
        <f t="shared" si="297"/>
        <v>109</v>
      </c>
      <c r="EG30" s="10">
        <f t="shared" si="297"/>
        <v>167</v>
      </c>
      <c r="EH30" s="10">
        <f t="shared" si="297"/>
        <v>164</v>
      </c>
      <c r="EI30" s="10">
        <f t="shared" si="297"/>
        <v>167</v>
      </c>
      <c r="EJ30" s="10">
        <f t="shared" si="297"/>
        <v>128</v>
      </c>
      <c r="EK30" s="10">
        <f t="shared" si="297"/>
        <v>106</v>
      </c>
      <c r="EL30" s="10">
        <f t="shared" si="297"/>
        <v>126</v>
      </c>
      <c r="EM30" s="10">
        <f t="shared" si="297"/>
        <v>140</v>
      </c>
      <c r="EN30" s="10">
        <f t="shared" si="297"/>
        <v>132</v>
      </c>
      <c r="EO30" s="10">
        <f t="shared" si="297"/>
        <v>106</v>
      </c>
      <c r="EP30" s="10">
        <f t="shared" si="297"/>
        <v>124</v>
      </c>
      <c r="EQ30" s="10">
        <f t="shared" si="297"/>
        <v>138</v>
      </c>
      <c r="ER30" s="10">
        <f t="shared" si="297"/>
        <v>97</v>
      </c>
      <c r="ES30" s="10">
        <f t="shared" si="297"/>
        <v>31</v>
      </c>
      <c r="ET30" s="10">
        <f t="shared" si="297"/>
        <v>7</v>
      </c>
      <c r="EU30" s="10">
        <f t="shared" si="289"/>
        <v>2224</v>
      </c>
      <c r="EV30" s="10">
        <f t="shared" si="282"/>
        <v>121.80000000000001</v>
      </c>
      <c r="EW30" s="10">
        <f t="shared" si="283"/>
        <v>53.4</v>
      </c>
      <c r="EX30" s="10">
        <f t="shared" si="280"/>
        <v>775</v>
      </c>
      <c r="EY30" s="10">
        <f t="shared" si="284"/>
        <v>503</v>
      </c>
      <c r="EZ30" s="14">
        <f t="shared" si="285"/>
        <v>0.34847122302158273</v>
      </c>
      <c r="FA30" s="14">
        <f t="shared" si="286"/>
        <v>0.22616906474820145</v>
      </c>
      <c r="FB30" s="10">
        <f t="shared" si="290"/>
        <v>402</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210</v>
      </c>
      <c r="EA31" s="16">
        <f t="shared" ref="EA31:ET31" si="298">EA29+EA30</f>
        <v>244</v>
      </c>
      <c r="EB31" s="16">
        <f t="shared" si="298"/>
        <v>250</v>
      </c>
      <c r="EC31" s="16">
        <f t="shared" si="298"/>
        <v>151</v>
      </c>
      <c r="ED31" s="16">
        <f t="shared" si="298"/>
        <v>104</v>
      </c>
      <c r="EE31" s="16">
        <f t="shared" si="298"/>
        <v>159</v>
      </c>
      <c r="EF31" s="16">
        <f t="shared" si="298"/>
        <v>221</v>
      </c>
      <c r="EG31" s="16">
        <f t="shared" si="298"/>
        <v>311</v>
      </c>
      <c r="EH31" s="16">
        <f t="shared" si="298"/>
        <v>340</v>
      </c>
      <c r="EI31" s="16">
        <f t="shared" si="298"/>
        <v>320</v>
      </c>
      <c r="EJ31" s="16">
        <f t="shared" si="298"/>
        <v>268</v>
      </c>
      <c r="EK31" s="16">
        <f t="shared" si="298"/>
        <v>221</v>
      </c>
      <c r="EL31" s="16">
        <f t="shared" si="298"/>
        <v>243</v>
      </c>
      <c r="EM31" s="16">
        <f t="shared" si="298"/>
        <v>263</v>
      </c>
      <c r="EN31" s="16">
        <f t="shared" si="298"/>
        <v>232</v>
      </c>
      <c r="EO31" s="16">
        <f t="shared" si="298"/>
        <v>197</v>
      </c>
      <c r="EP31" s="16">
        <f t="shared" si="298"/>
        <v>226</v>
      </c>
      <c r="EQ31" s="16">
        <f t="shared" si="298"/>
        <v>210</v>
      </c>
      <c r="ER31" s="16">
        <f t="shared" si="298"/>
        <v>129</v>
      </c>
      <c r="ES31" s="16">
        <f t="shared" si="298"/>
        <v>44</v>
      </c>
      <c r="ET31" s="16">
        <f t="shared" si="298"/>
        <v>10</v>
      </c>
      <c r="EU31" s="11">
        <f t="shared" si="289"/>
        <v>4353</v>
      </c>
      <c r="EV31" s="11">
        <f t="shared" si="282"/>
        <v>296.39999999999998</v>
      </c>
      <c r="EW31" s="11">
        <f t="shared" si="283"/>
        <v>130.19999999999999</v>
      </c>
      <c r="EX31" s="11">
        <f t="shared" si="280"/>
        <v>1311</v>
      </c>
      <c r="EY31" s="11">
        <f t="shared" si="284"/>
        <v>816</v>
      </c>
      <c r="EZ31" s="15">
        <f t="shared" si="285"/>
        <v>0.30117160578911095</v>
      </c>
      <c r="FA31" s="15">
        <f t="shared" si="286"/>
        <v>0.18745692625775329</v>
      </c>
      <c r="FB31" s="11">
        <f t="shared" si="290"/>
        <v>795</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2293</v>
      </c>
      <c r="D4" s="17">
        <f>SUM(C41:C61)</f>
        <v>2640</v>
      </c>
      <c r="E4" s="17">
        <f>C4+D4</f>
        <v>4933</v>
      </c>
      <c r="F4" s="85"/>
      <c r="G4" s="1" t="s">
        <v>58</v>
      </c>
      <c r="H4" s="1">
        <f>B4</f>
        <v>2010</v>
      </c>
      <c r="I4" s="17">
        <f>C4</f>
        <v>2293</v>
      </c>
      <c r="J4" s="17">
        <f>D4</f>
        <v>2640</v>
      </c>
      <c r="K4" s="17">
        <f>I4+J4</f>
        <v>4933</v>
      </c>
      <c r="N4" s="1" t="s">
        <v>58</v>
      </c>
      <c r="O4" s="1">
        <f>H4</f>
        <v>2010</v>
      </c>
      <c r="P4" s="17">
        <f>I4</f>
        <v>2293</v>
      </c>
      <c r="Q4" s="17">
        <f t="shared" ref="Q4:R4" si="0">J4</f>
        <v>2640</v>
      </c>
      <c r="R4" s="17">
        <f t="shared" si="0"/>
        <v>4933</v>
      </c>
      <c r="S4" s="1"/>
      <c r="T4" s="1"/>
      <c r="U4" s="1"/>
    </row>
    <row r="5" spans="1:21" x14ac:dyDescent="0.15">
      <c r="A5" s="1" t="s">
        <v>61</v>
      </c>
      <c r="B5" s="1">
        <f>管理者入力シート!B6</f>
        <v>2015</v>
      </c>
      <c r="C5" s="17">
        <f>SUM(B65:B85)</f>
        <v>2149</v>
      </c>
      <c r="D5" s="17">
        <f>SUM(C65:C85)</f>
        <v>2484</v>
      </c>
      <c r="E5" s="17">
        <f t="shared" ref="E5" si="1">C5+D5</f>
        <v>4633</v>
      </c>
      <c r="F5" s="85"/>
      <c r="G5" s="1" t="s">
        <v>57</v>
      </c>
      <c r="H5" s="1">
        <f t="shared" ref="H5:H6" si="2">B5</f>
        <v>2015</v>
      </c>
      <c r="I5" s="17">
        <f t="shared" ref="I5" si="3">C5</f>
        <v>2149</v>
      </c>
      <c r="J5" s="17">
        <f>D5</f>
        <v>2484</v>
      </c>
      <c r="K5" s="17">
        <f t="shared" ref="K5:K10" si="4">I5+J5</f>
        <v>4633</v>
      </c>
      <c r="N5" s="1" t="s">
        <v>57</v>
      </c>
      <c r="O5" s="1">
        <f t="shared" ref="O5:O10" si="5">H5</f>
        <v>2015</v>
      </c>
      <c r="P5" s="17">
        <f t="shared" ref="P5:P10" si="6">I5</f>
        <v>2149</v>
      </c>
      <c r="Q5" s="17">
        <f t="shared" ref="Q5:Q10" si="7">J5</f>
        <v>2484</v>
      </c>
      <c r="R5" s="17">
        <f t="shared" ref="R5:R10" si="8">K5</f>
        <v>4633</v>
      </c>
      <c r="S5" s="1"/>
      <c r="T5" s="1"/>
      <c r="U5" s="1"/>
    </row>
    <row r="6" spans="1:21" x14ac:dyDescent="0.15">
      <c r="A6" s="1" t="s">
        <v>62</v>
      </c>
      <c r="B6" s="1">
        <f>管理者入力シート!B5</f>
        <v>2020</v>
      </c>
      <c r="C6" s="17">
        <f>SUM(B89:B109)</f>
        <v>2100</v>
      </c>
      <c r="D6" s="17">
        <f>SUM(C89:C109)</f>
        <v>2392</v>
      </c>
      <c r="E6" s="17">
        <f>C6+D6</f>
        <v>4492</v>
      </c>
      <c r="F6" s="85"/>
      <c r="G6" s="1" t="s">
        <v>62</v>
      </c>
      <c r="H6" s="1">
        <f t="shared" si="2"/>
        <v>2020</v>
      </c>
      <c r="I6" s="17">
        <f>C6</f>
        <v>2100</v>
      </c>
      <c r="J6" s="17">
        <f>D6</f>
        <v>2392</v>
      </c>
      <c r="K6" s="17">
        <f t="shared" si="4"/>
        <v>4492</v>
      </c>
      <c r="N6" s="1" t="s">
        <v>62</v>
      </c>
      <c r="O6" s="1">
        <f t="shared" si="5"/>
        <v>2020</v>
      </c>
      <c r="P6" s="17">
        <f t="shared" si="6"/>
        <v>2100</v>
      </c>
      <c r="Q6" s="17">
        <f t="shared" si="7"/>
        <v>2392</v>
      </c>
      <c r="R6" s="17">
        <f t="shared" si="8"/>
        <v>4492</v>
      </c>
      <c r="S6" s="1"/>
      <c r="T6" s="1"/>
      <c r="U6" s="1"/>
    </row>
    <row r="7" spans="1:21" x14ac:dyDescent="0.15">
      <c r="G7" s="1" t="s">
        <v>106</v>
      </c>
      <c r="H7" s="1">
        <f>管理者入力シート!B8</f>
        <v>2025</v>
      </c>
      <c r="I7" s="17">
        <f>SUM(H69:H89)</f>
        <v>2001</v>
      </c>
      <c r="J7" s="17">
        <f>SUM(I69:I89)</f>
        <v>2239</v>
      </c>
      <c r="K7" s="17">
        <f t="shared" si="4"/>
        <v>4240</v>
      </c>
      <c r="N7" s="1" t="s">
        <v>106</v>
      </c>
      <c r="O7" s="1">
        <f t="shared" si="5"/>
        <v>2025</v>
      </c>
      <c r="P7" s="17">
        <f t="shared" si="6"/>
        <v>2001</v>
      </c>
      <c r="Q7" s="17">
        <f t="shared" si="7"/>
        <v>2239</v>
      </c>
      <c r="R7" s="17">
        <f t="shared" si="8"/>
        <v>4240</v>
      </c>
      <c r="S7" s="235">
        <f>SUM(O69:O89)</f>
        <v>2005</v>
      </c>
      <c r="T7" s="235">
        <f>SUM(P69:P89)</f>
        <v>2244</v>
      </c>
      <c r="U7" s="235">
        <f>S7+T7</f>
        <v>4249</v>
      </c>
    </row>
    <row r="8" spans="1:21" x14ac:dyDescent="0.15">
      <c r="A8" s="69" t="s">
        <v>71</v>
      </c>
      <c r="G8" s="1" t="s">
        <v>107</v>
      </c>
      <c r="H8" s="1">
        <f>管理者入力シート!B9</f>
        <v>2030</v>
      </c>
      <c r="I8" s="17">
        <f>SUM(H93:H113)</f>
        <v>1890</v>
      </c>
      <c r="J8" s="17">
        <f>SUM(I93:I113)</f>
        <v>2084</v>
      </c>
      <c r="K8" s="17">
        <f t="shared" si="4"/>
        <v>3974</v>
      </c>
      <c r="N8" s="1" t="s">
        <v>107</v>
      </c>
      <c r="O8" s="1">
        <f t="shared" si="5"/>
        <v>2030</v>
      </c>
      <c r="P8" s="17">
        <f t="shared" si="6"/>
        <v>1890</v>
      </c>
      <c r="Q8" s="17">
        <f t="shared" si="7"/>
        <v>2084</v>
      </c>
      <c r="R8" s="17">
        <f t="shared" si="8"/>
        <v>3974</v>
      </c>
      <c r="S8" s="235">
        <f>SUM(O93:O113)</f>
        <v>1898</v>
      </c>
      <c r="T8" s="235">
        <f>SUM(P93:P113)</f>
        <v>2096</v>
      </c>
      <c r="U8" s="235">
        <f t="shared" ref="U8:U10" si="9">S8+T8</f>
        <v>3994</v>
      </c>
    </row>
    <row r="9" spans="1:21" x14ac:dyDescent="0.15">
      <c r="A9" s="2" t="s">
        <v>72</v>
      </c>
      <c r="G9" s="1" t="s">
        <v>108</v>
      </c>
      <c r="H9" s="1">
        <f>管理者入力シート!B10</f>
        <v>2035</v>
      </c>
      <c r="I9" s="17">
        <f>SUM(H117:H137)</f>
        <v>1759</v>
      </c>
      <c r="J9" s="17">
        <f>SUM(I117:I137)</f>
        <v>1921</v>
      </c>
      <c r="K9" s="17">
        <f t="shared" si="4"/>
        <v>3680</v>
      </c>
      <c r="N9" s="1" t="s">
        <v>108</v>
      </c>
      <c r="O9" s="1">
        <f t="shared" si="5"/>
        <v>2035</v>
      </c>
      <c r="P9" s="17">
        <f t="shared" si="6"/>
        <v>1759</v>
      </c>
      <c r="Q9" s="17">
        <f t="shared" si="7"/>
        <v>1921</v>
      </c>
      <c r="R9" s="17">
        <f t="shared" si="8"/>
        <v>3680</v>
      </c>
      <c r="S9" s="235">
        <f>SUM(O117:O137)</f>
        <v>1776</v>
      </c>
      <c r="T9" s="235">
        <f>SUM(P117:P137)</f>
        <v>1940</v>
      </c>
      <c r="U9" s="235">
        <f t="shared" si="9"/>
        <v>3716</v>
      </c>
    </row>
    <row r="10" spans="1:21" x14ac:dyDescent="0.15">
      <c r="A10" s="1" t="s">
        <v>58</v>
      </c>
      <c r="B10" s="1">
        <f>B4</f>
        <v>2010</v>
      </c>
      <c r="C10" s="17">
        <f>ROUND(VLOOKUP(B10&amp;"_3",管理者用人口入力シート!A:AA,26,FALSE),0)</f>
        <v>283</v>
      </c>
      <c r="D10" s="12"/>
      <c r="E10" s="12"/>
      <c r="G10" s="1" t="s">
        <v>109</v>
      </c>
      <c r="H10" s="1">
        <f>管理者入力シート!B11</f>
        <v>2040</v>
      </c>
      <c r="I10" s="17">
        <f>SUM(H141:H161)</f>
        <v>1626</v>
      </c>
      <c r="J10" s="17">
        <f>SUM(I141:I161)</f>
        <v>1765</v>
      </c>
      <c r="K10" s="17">
        <f t="shared" si="4"/>
        <v>3391</v>
      </c>
      <c r="N10" s="1" t="s">
        <v>109</v>
      </c>
      <c r="O10" s="1">
        <f t="shared" si="5"/>
        <v>2040</v>
      </c>
      <c r="P10" s="17">
        <f t="shared" si="6"/>
        <v>1626</v>
      </c>
      <c r="Q10" s="17">
        <f t="shared" si="7"/>
        <v>1765</v>
      </c>
      <c r="R10" s="17">
        <f t="shared" si="8"/>
        <v>3391</v>
      </c>
      <c r="S10" s="235">
        <f>SUM(O141:O161)</f>
        <v>1647</v>
      </c>
      <c r="T10" s="235">
        <f>SUM(P141:P161)</f>
        <v>1788</v>
      </c>
      <c r="U10" s="235">
        <f t="shared" si="9"/>
        <v>3435</v>
      </c>
    </row>
    <row r="11" spans="1:21" x14ac:dyDescent="0.15">
      <c r="A11" s="1" t="s">
        <v>61</v>
      </c>
      <c r="B11" s="1">
        <f t="shared" ref="B11:B12" si="10">B5</f>
        <v>2015</v>
      </c>
      <c r="C11" s="17">
        <f>ROUND(VLOOKUP(B11&amp;"_3",管理者用人口入力シート!A:AA,26,FALSE),0)</f>
        <v>253</v>
      </c>
      <c r="D11" s="12"/>
      <c r="E11" s="12"/>
      <c r="I11" s="12"/>
      <c r="J11" s="12"/>
      <c r="K11" s="12"/>
      <c r="P11" s="12"/>
    </row>
    <row r="12" spans="1:21" x14ac:dyDescent="0.15">
      <c r="A12" s="1" t="s">
        <v>62</v>
      </c>
      <c r="B12" s="1">
        <f t="shared" si="10"/>
        <v>2020</v>
      </c>
      <c r="C12" s="17">
        <f>ROUND(VLOOKUP(B12&amp;"_3",管理者用人口入力シート!A:AA,26,FALSE),0)</f>
        <v>225</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148</v>
      </c>
      <c r="D14" s="12"/>
      <c r="E14" s="12"/>
      <c r="G14" s="1" t="s">
        <v>58</v>
      </c>
      <c r="H14" s="1">
        <f>H4</f>
        <v>2010</v>
      </c>
      <c r="I14" s="17">
        <f>C10</f>
        <v>283</v>
      </c>
      <c r="J14" s="12"/>
      <c r="K14" s="12"/>
      <c r="N14" s="1" t="s">
        <v>58</v>
      </c>
      <c r="O14" s="1">
        <f>O4</f>
        <v>2010</v>
      </c>
      <c r="P14" s="17">
        <f>I14</f>
        <v>283</v>
      </c>
      <c r="Q14" s="17"/>
    </row>
    <row r="15" spans="1:21" x14ac:dyDescent="0.15">
      <c r="A15" s="1" t="s">
        <v>61</v>
      </c>
      <c r="B15" s="1">
        <f t="shared" ref="B15:B16" si="11">B5</f>
        <v>2015</v>
      </c>
      <c r="C15" s="17">
        <f>ROUND(VLOOKUP(B15&amp;"_3",管理者用人口入力シート!A:AA,27,FALSE),0)</f>
        <v>137</v>
      </c>
      <c r="D15" s="12"/>
      <c r="E15" s="12"/>
      <c r="G15" s="1" t="s">
        <v>57</v>
      </c>
      <c r="H15" s="1">
        <f t="shared" ref="H15:H20" si="12">H5</f>
        <v>2015</v>
      </c>
      <c r="I15" s="17">
        <f>C11</f>
        <v>253</v>
      </c>
      <c r="J15" s="12"/>
      <c r="K15" s="12"/>
      <c r="N15" s="1" t="s">
        <v>57</v>
      </c>
      <c r="O15" s="1">
        <f t="shared" ref="O15:O20" si="13">O5</f>
        <v>2015</v>
      </c>
      <c r="P15" s="17">
        <f t="shared" ref="P15:P20" si="14">I15</f>
        <v>253</v>
      </c>
      <c r="Q15" s="17"/>
    </row>
    <row r="16" spans="1:21" x14ac:dyDescent="0.15">
      <c r="A16" s="1" t="s">
        <v>62</v>
      </c>
      <c r="B16" s="1">
        <f t="shared" si="11"/>
        <v>2020</v>
      </c>
      <c r="C16" s="17">
        <f>ROUND(VLOOKUP(B16&amp;"_3",管理者用人口入力シート!A:AA,27,FALSE),0)</f>
        <v>111</v>
      </c>
      <c r="D16" s="12"/>
      <c r="E16" s="12"/>
      <c r="G16" s="1" t="s">
        <v>62</v>
      </c>
      <c r="H16" s="1">
        <f t="shared" si="12"/>
        <v>2020</v>
      </c>
      <c r="I16" s="17">
        <f>C12</f>
        <v>225</v>
      </c>
      <c r="J16" s="12"/>
      <c r="K16" s="12"/>
      <c r="N16" s="1" t="s">
        <v>62</v>
      </c>
      <c r="O16" s="1">
        <f t="shared" si="13"/>
        <v>2020</v>
      </c>
      <c r="P16" s="17">
        <f t="shared" si="14"/>
        <v>225</v>
      </c>
      <c r="Q16" s="17"/>
    </row>
    <row r="17" spans="1:17" x14ac:dyDescent="0.15">
      <c r="G17" s="1" t="s">
        <v>106</v>
      </c>
      <c r="H17" s="1">
        <f t="shared" si="12"/>
        <v>2025</v>
      </c>
      <c r="I17" s="17">
        <f>ROUND(VLOOKUP(H17&amp;"_3",管理者用人口入力シート!BH:CM,26,FALSE),0)</f>
        <v>229</v>
      </c>
      <c r="J17" s="12"/>
      <c r="K17" s="12"/>
      <c r="N17" s="1" t="s">
        <v>106</v>
      </c>
      <c r="O17" s="1">
        <f t="shared" si="13"/>
        <v>2025</v>
      </c>
      <c r="P17" s="17">
        <f t="shared" si="14"/>
        <v>229</v>
      </c>
      <c r="Q17" s="17">
        <f>ROUND(VLOOKUP(H17&amp;"_3",管理者用人口入力シート!CO:DT,26,FALSE),0)</f>
        <v>230</v>
      </c>
    </row>
    <row r="18" spans="1:17" x14ac:dyDescent="0.15">
      <c r="A18" s="69" t="s">
        <v>110</v>
      </c>
      <c r="G18" s="1" t="s">
        <v>107</v>
      </c>
      <c r="H18" s="1">
        <f t="shared" si="12"/>
        <v>2030</v>
      </c>
      <c r="I18" s="17">
        <f>ROUND(VLOOKUP(H18&amp;"_3",管理者用人口入力シート!BH:CM,26,FALSE),0)</f>
        <v>224</v>
      </c>
      <c r="J18" s="12"/>
      <c r="K18" s="12"/>
      <c r="N18" s="1" t="s">
        <v>107</v>
      </c>
      <c r="O18" s="1">
        <f t="shared" si="13"/>
        <v>2030</v>
      </c>
      <c r="P18" s="17">
        <f t="shared" si="14"/>
        <v>224</v>
      </c>
      <c r="Q18" s="17">
        <f>ROUND(VLOOKUP(H18&amp;"_3",管理者用人口入力シート!CO:DT,26,FALSE),0)</f>
        <v>227</v>
      </c>
    </row>
    <row r="19" spans="1:17" x14ac:dyDescent="0.15">
      <c r="A19" s="2" t="s">
        <v>84</v>
      </c>
      <c r="G19" s="1" t="s">
        <v>108</v>
      </c>
      <c r="H19" s="1">
        <f t="shared" si="12"/>
        <v>2035</v>
      </c>
      <c r="I19" s="17">
        <f>ROUND(VLOOKUP(H19&amp;"_3",管理者用人口入力シート!BH:CM,26,FALSE),0)</f>
        <v>208</v>
      </c>
      <c r="J19" s="12"/>
      <c r="K19" s="12"/>
      <c r="N19" s="1" t="s">
        <v>108</v>
      </c>
      <c r="O19" s="1">
        <f t="shared" si="13"/>
        <v>2035</v>
      </c>
      <c r="P19" s="17">
        <f t="shared" si="14"/>
        <v>208</v>
      </c>
      <c r="Q19" s="17">
        <f>ROUND(VLOOKUP(H19&amp;"_3",管理者用人口入力シート!CO:DT,26,FALSE),0)</f>
        <v>213</v>
      </c>
    </row>
    <row r="20" spans="1:17" x14ac:dyDescent="0.15">
      <c r="A20" s="1" t="s">
        <v>58</v>
      </c>
      <c r="B20" s="1">
        <f>B4</f>
        <v>2010</v>
      </c>
      <c r="C20" s="17">
        <f>SUM(B54:C61)</f>
        <v>1584</v>
      </c>
      <c r="D20" s="12"/>
      <c r="E20" s="12"/>
      <c r="G20" s="1" t="s">
        <v>109</v>
      </c>
      <c r="H20" s="1">
        <f t="shared" si="12"/>
        <v>2040</v>
      </c>
      <c r="I20" s="17">
        <f>ROUND(VLOOKUP(H20&amp;"_3",管理者用人口入力シート!BH:CM,26,FALSE),0)</f>
        <v>188</v>
      </c>
      <c r="J20" s="12"/>
      <c r="K20" s="12"/>
      <c r="N20" s="1" t="s">
        <v>109</v>
      </c>
      <c r="O20" s="1">
        <f t="shared" si="13"/>
        <v>2040</v>
      </c>
      <c r="P20" s="17">
        <f t="shared" si="14"/>
        <v>188</v>
      </c>
      <c r="Q20" s="17">
        <f>ROUND(VLOOKUP(H20&amp;"_3",管理者用人口入力シート!CO:DT,26,FALSE),0)</f>
        <v>196</v>
      </c>
    </row>
    <row r="21" spans="1:17" x14ac:dyDescent="0.15">
      <c r="A21" s="1" t="s">
        <v>61</v>
      </c>
      <c r="B21" s="1">
        <f t="shared" ref="B21:B22" si="15">B5</f>
        <v>2015</v>
      </c>
      <c r="C21" s="17">
        <f>SUM(B78:C85)</f>
        <v>1646</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1760</v>
      </c>
      <c r="D22" s="12"/>
      <c r="E22" s="12"/>
      <c r="G22" s="1" t="s">
        <v>58</v>
      </c>
      <c r="H22" s="1">
        <f>H4</f>
        <v>2010</v>
      </c>
      <c r="I22" s="17">
        <f>C14</f>
        <v>148</v>
      </c>
      <c r="J22" s="12"/>
      <c r="K22" s="12"/>
      <c r="N22" s="1" t="s">
        <v>58</v>
      </c>
      <c r="O22" s="1">
        <f>O4</f>
        <v>2010</v>
      </c>
      <c r="P22" s="17">
        <f>I22</f>
        <v>148</v>
      </c>
      <c r="Q22" s="17"/>
    </row>
    <row r="23" spans="1:17" x14ac:dyDescent="0.15">
      <c r="A23" s="2" t="s">
        <v>86</v>
      </c>
      <c r="G23" s="1" t="s">
        <v>57</v>
      </c>
      <c r="H23" s="1">
        <f t="shared" ref="H23:H28" si="16">H5</f>
        <v>2015</v>
      </c>
      <c r="I23" s="17">
        <f t="shared" ref="I23:I24" si="17">C15</f>
        <v>137</v>
      </c>
      <c r="J23" s="12"/>
      <c r="K23" s="12"/>
      <c r="N23" s="1" t="s">
        <v>57</v>
      </c>
      <c r="O23" s="1">
        <f t="shared" ref="O23:O28" si="18">O5</f>
        <v>2015</v>
      </c>
      <c r="P23" s="17">
        <f t="shared" ref="P23:P28" si="19">I23</f>
        <v>137</v>
      </c>
      <c r="Q23" s="17"/>
    </row>
    <row r="24" spans="1:17" x14ac:dyDescent="0.15">
      <c r="A24" s="1" t="s">
        <v>58</v>
      </c>
      <c r="B24" s="1">
        <f>B4</f>
        <v>2010</v>
      </c>
      <c r="C24" s="17">
        <f>SUM(B56:C61)</f>
        <v>890</v>
      </c>
      <c r="D24" s="12"/>
      <c r="E24" s="12"/>
      <c r="G24" s="1" t="s">
        <v>62</v>
      </c>
      <c r="H24" s="1">
        <f t="shared" si="16"/>
        <v>2020</v>
      </c>
      <c r="I24" s="17">
        <f t="shared" si="17"/>
        <v>111</v>
      </c>
      <c r="J24" s="12"/>
      <c r="K24" s="12"/>
      <c r="N24" s="1" t="s">
        <v>62</v>
      </c>
      <c r="O24" s="1">
        <f t="shared" si="18"/>
        <v>2020</v>
      </c>
      <c r="P24" s="17">
        <f t="shared" si="19"/>
        <v>111</v>
      </c>
      <c r="Q24" s="17"/>
    </row>
    <row r="25" spans="1:17" x14ac:dyDescent="0.15">
      <c r="A25" s="1" t="s">
        <v>61</v>
      </c>
      <c r="B25" s="1">
        <f t="shared" ref="B25:B26" si="20">B5</f>
        <v>2015</v>
      </c>
      <c r="C25" s="17">
        <f>SUM(B80:C85)</f>
        <v>876</v>
      </c>
      <c r="D25" s="12"/>
      <c r="E25" s="12"/>
      <c r="G25" s="1" t="s">
        <v>106</v>
      </c>
      <c r="H25" s="1">
        <f t="shared" si="16"/>
        <v>2025</v>
      </c>
      <c r="I25" s="17">
        <f>ROUND(VLOOKUP(H25&amp;"_3",管理者用人口入力シート!BH:CM,27,FALSE),0)</f>
        <v>107</v>
      </c>
      <c r="J25" s="12"/>
      <c r="K25" s="12"/>
      <c r="N25" s="1" t="s">
        <v>106</v>
      </c>
      <c r="O25" s="1">
        <f t="shared" si="18"/>
        <v>2025</v>
      </c>
      <c r="P25" s="17">
        <f t="shared" si="19"/>
        <v>107</v>
      </c>
      <c r="Q25" s="17">
        <f>ROUND(VLOOKUP(H17&amp;"_3",管理者用人口入力シート!CO:DT,27,FALSE),0)</f>
        <v>108</v>
      </c>
    </row>
    <row r="26" spans="1:17" x14ac:dyDescent="0.15">
      <c r="A26" s="1" t="s">
        <v>62</v>
      </c>
      <c r="B26" s="1">
        <f t="shared" si="20"/>
        <v>2020</v>
      </c>
      <c r="C26" s="17">
        <f>SUM(B104:C109)</f>
        <v>956</v>
      </c>
      <c r="D26" s="12"/>
      <c r="E26" s="12"/>
      <c r="G26" s="1" t="s">
        <v>107</v>
      </c>
      <c r="H26" s="1">
        <f t="shared" si="16"/>
        <v>2030</v>
      </c>
      <c r="I26" s="17">
        <f>ROUND(VLOOKUP(H26&amp;"_3",管理者用人口入力シート!BH:CM,27,FALSE),0)</f>
        <v>110</v>
      </c>
      <c r="J26" s="12"/>
      <c r="K26" s="12"/>
      <c r="N26" s="1" t="s">
        <v>107</v>
      </c>
      <c r="O26" s="1">
        <f t="shared" si="18"/>
        <v>2030</v>
      </c>
      <c r="P26" s="17">
        <f t="shared" si="19"/>
        <v>110</v>
      </c>
      <c r="Q26" s="17">
        <f>ROUND(VLOOKUP(H18&amp;"_3",管理者用人口入力シート!CO:DT,27,FALSE),0)</f>
        <v>111</v>
      </c>
    </row>
    <row r="27" spans="1:17" x14ac:dyDescent="0.15">
      <c r="G27" s="1" t="s">
        <v>108</v>
      </c>
      <c r="H27" s="1">
        <f t="shared" si="16"/>
        <v>2035</v>
      </c>
      <c r="I27" s="17">
        <f>ROUND(VLOOKUP(H27&amp;"_3",管理者用人口入力シート!BH:CM,27,FALSE),0)</f>
        <v>105</v>
      </c>
      <c r="J27" s="12"/>
      <c r="K27" s="12"/>
      <c r="N27" s="1" t="s">
        <v>108</v>
      </c>
      <c r="O27" s="1">
        <f t="shared" si="18"/>
        <v>2035</v>
      </c>
      <c r="P27" s="17">
        <f t="shared" si="19"/>
        <v>105</v>
      </c>
      <c r="Q27" s="17">
        <f>ROUND(VLOOKUP(H19&amp;"_3",管理者用人口入力シート!CO:DT,27,FALSE),0)</f>
        <v>107</v>
      </c>
    </row>
    <row r="28" spans="1:17" x14ac:dyDescent="0.15">
      <c r="A28" s="69" t="s">
        <v>85</v>
      </c>
      <c r="G28" s="1" t="s">
        <v>109</v>
      </c>
      <c r="H28" s="1">
        <f t="shared" si="16"/>
        <v>2040</v>
      </c>
      <c r="I28" s="17">
        <f>ROUND(VLOOKUP(H28&amp;"_3",管理者用人口入力シート!BH:CM,27,FALSE),0)</f>
        <v>97</v>
      </c>
      <c r="J28" s="12"/>
      <c r="K28" s="12"/>
      <c r="N28" s="1" t="s">
        <v>109</v>
      </c>
      <c r="O28" s="1">
        <f t="shared" si="18"/>
        <v>2040</v>
      </c>
      <c r="P28" s="17">
        <f t="shared" si="19"/>
        <v>97</v>
      </c>
      <c r="Q28" s="17">
        <f>ROUND(VLOOKUP(H20&amp;"_3",管理者用人口入力シート!CO:DT,27,FALSE),0)</f>
        <v>101</v>
      </c>
    </row>
    <row r="29" spans="1:17" x14ac:dyDescent="0.15">
      <c r="A29" s="2" t="s">
        <v>84</v>
      </c>
    </row>
    <row r="30" spans="1:17" x14ac:dyDescent="0.15">
      <c r="A30" s="1" t="s">
        <v>58</v>
      </c>
      <c r="B30" s="1">
        <f>B4</f>
        <v>2010</v>
      </c>
      <c r="C30" s="38">
        <f>ROUND((SUM(B54:C61)/SUM(B41:C61)),2)</f>
        <v>0.32</v>
      </c>
      <c r="D30" s="204"/>
      <c r="E30" s="204"/>
      <c r="G30" s="69" t="s">
        <v>110</v>
      </c>
      <c r="N30" s="69" t="s">
        <v>110</v>
      </c>
    </row>
    <row r="31" spans="1:17" x14ac:dyDescent="0.15">
      <c r="A31" s="1" t="s">
        <v>61</v>
      </c>
      <c r="B31" s="1">
        <f t="shared" ref="B31:B32" si="21">B5</f>
        <v>2015</v>
      </c>
      <c r="C31" s="38">
        <f>ROUND((SUM(B78:C85)/SUM(B65:C85)),2)</f>
        <v>0.36</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0.39</v>
      </c>
      <c r="D32" s="204"/>
      <c r="E32" s="204"/>
      <c r="G32" s="1" t="s">
        <v>58</v>
      </c>
      <c r="H32" s="1">
        <f>H4</f>
        <v>2010</v>
      </c>
      <c r="I32" s="17">
        <f>C20</f>
        <v>1584</v>
      </c>
      <c r="J32" s="12"/>
      <c r="K32" s="12"/>
      <c r="N32" s="1" t="s">
        <v>58</v>
      </c>
      <c r="O32" s="1">
        <f>O4</f>
        <v>2010</v>
      </c>
      <c r="P32" s="17">
        <f>I32</f>
        <v>1584</v>
      </c>
      <c r="Q32" s="17"/>
    </row>
    <row r="33" spans="1:17" x14ac:dyDescent="0.15">
      <c r="A33" s="2" t="s">
        <v>86</v>
      </c>
      <c r="G33" s="1" t="s">
        <v>57</v>
      </c>
      <c r="H33" s="1">
        <f t="shared" ref="H33:H38" si="22">H5</f>
        <v>2015</v>
      </c>
      <c r="I33" s="17">
        <f>C21</f>
        <v>1646</v>
      </c>
      <c r="J33" s="12"/>
      <c r="K33" s="12"/>
      <c r="N33" s="1" t="s">
        <v>57</v>
      </c>
      <c r="O33" s="1">
        <f t="shared" ref="O33:O38" si="23">O5</f>
        <v>2015</v>
      </c>
      <c r="P33" s="17">
        <f t="shared" ref="P33:P38" si="24">I33</f>
        <v>1646</v>
      </c>
      <c r="Q33" s="17"/>
    </row>
    <row r="34" spans="1:17" x14ac:dyDescent="0.15">
      <c r="A34" s="1" t="s">
        <v>58</v>
      </c>
      <c r="B34" s="1">
        <f>B4</f>
        <v>2010</v>
      </c>
      <c r="C34" s="38">
        <f>ROUND((SUM(B56:C61)/SUM(B41:C61)),2)</f>
        <v>0.18</v>
      </c>
      <c r="D34" s="204"/>
      <c r="E34" s="204"/>
      <c r="G34" s="1" t="s">
        <v>62</v>
      </c>
      <c r="H34" s="1">
        <f t="shared" si="22"/>
        <v>2020</v>
      </c>
      <c r="I34" s="17">
        <f>C22</f>
        <v>1760</v>
      </c>
      <c r="J34" s="12"/>
      <c r="K34" s="12"/>
      <c r="N34" s="1" t="s">
        <v>62</v>
      </c>
      <c r="O34" s="1">
        <f t="shared" si="23"/>
        <v>2020</v>
      </c>
      <c r="P34" s="17">
        <f t="shared" si="24"/>
        <v>1760</v>
      </c>
      <c r="Q34" s="17"/>
    </row>
    <row r="35" spans="1:17" x14ac:dyDescent="0.15">
      <c r="A35" s="1" t="s">
        <v>61</v>
      </c>
      <c r="B35" s="1">
        <f t="shared" ref="B35:B36" si="25">B5</f>
        <v>2015</v>
      </c>
      <c r="C35" s="38">
        <f>ROUND((SUM(B80:C85)/SUM(B65:C85)),2)</f>
        <v>0.19</v>
      </c>
      <c r="D35" s="204"/>
      <c r="E35" s="204"/>
      <c r="G35" s="1" t="s">
        <v>106</v>
      </c>
      <c r="H35" s="1">
        <f t="shared" si="22"/>
        <v>2025</v>
      </c>
      <c r="I35" s="17">
        <f>SUM(H82:I89)</f>
        <v>1693</v>
      </c>
      <c r="J35" s="12"/>
      <c r="K35" s="12"/>
      <c r="N35" s="1" t="s">
        <v>106</v>
      </c>
      <c r="O35" s="1">
        <f t="shared" si="23"/>
        <v>2025</v>
      </c>
      <c r="P35" s="17">
        <f t="shared" si="24"/>
        <v>1693</v>
      </c>
      <c r="Q35" s="17">
        <f>SUM(O82:P89)</f>
        <v>1693</v>
      </c>
    </row>
    <row r="36" spans="1:17" x14ac:dyDescent="0.15">
      <c r="A36" s="1" t="s">
        <v>62</v>
      </c>
      <c r="B36" s="1">
        <f t="shared" si="25"/>
        <v>2020</v>
      </c>
      <c r="C36" s="38">
        <f>ROUND((SUM(B104:C109)/SUM(B89:C109)),2)</f>
        <v>0.21</v>
      </c>
      <c r="D36" s="204"/>
      <c r="E36" s="204"/>
      <c r="G36" s="1" t="s">
        <v>107</v>
      </c>
      <c r="H36" s="1">
        <f t="shared" si="22"/>
        <v>2030</v>
      </c>
      <c r="I36" s="17">
        <f>SUM(H106:I113)</f>
        <v>1541</v>
      </c>
      <c r="J36" s="12"/>
      <c r="K36" s="12"/>
      <c r="N36" s="1" t="s">
        <v>107</v>
      </c>
      <c r="O36" s="1">
        <f t="shared" si="23"/>
        <v>2030</v>
      </c>
      <c r="P36" s="17">
        <f t="shared" si="24"/>
        <v>1541</v>
      </c>
      <c r="Q36" s="17">
        <f>SUM(O106:P113)</f>
        <v>1541</v>
      </c>
    </row>
    <row r="37" spans="1:17" x14ac:dyDescent="0.15">
      <c r="G37" s="1" t="s">
        <v>108</v>
      </c>
      <c r="H37" s="1">
        <f t="shared" si="22"/>
        <v>2035</v>
      </c>
      <c r="I37" s="17">
        <f>SUM(H130:I137)</f>
        <v>1413</v>
      </c>
      <c r="J37" s="12"/>
      <c r="K37" s="12"/>
      <c r="N37" s="1" t="s">
        <v>108</v>
      </c>
      <c r="O37" s="1">
        <f t="shared" si="23"/>
        <v>2035</v>
      </c>
      <c r="P37" s="17">
        <f t="shared" si="24"/>
        <v>1413</v>
      </c>
      <c r="Q37" s="17">
        <f>SUM(O130:P137)</f>
        <v>1413</v>
      </c>
    </row>
    <row r="38" spans="1:17" x14ac:dyDescent="0.15">
      <c r="A38" s="69" t="s">
        <v>113</v>
      </c>
      <c r="G38" s="1" t="s">
        <v>109</v>
      </c>
      <c r="H38" s="1">
        <f t="shared" si="22"/>
        <v>2040</v>
      </c>
      <c r="I38" s="17">
        <f>SUM(H154:I161)</f>
        <v>1311</v>
      </c>
      <c r="J38" s="12"/>
      <c r="K38" s="12"/>
      <c r="N38" s="1" t="s">
        <v>109</v>
      </c>
      <c r="O38" s="1">
        <f t="shared" si="23"/>
        <v>2040</v>
      </c>
      <c r="P38" s="17">
        <f t="shared" si="24"/>
        <v>1311</v>
      </c>
      <c r="Q38" s="17">
        <f>SUM(O154:P161)</f>
        <v>1311</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890</v>
      </c>
      <c r="J40" s="12"/>
      <c r="K40" s="12"/>
      <c r="N40" s="1" t="s">
        <v>58</v>
      </c>
      <c r="O40" s="1">
        <f>O4</f>
        <v>2010</v>
      </c>
      <c r="P40" s="17">
        <f>I40</f>
        <v>890</v>
      </c>
      <c r="Q40" s="17"/>
    </row>
    <row r="41" spans="1:17" x14ac:dyDescent="0.15">
      <c r="A41" s="2" t="s">
        <v>0</v>
      </c>
      <c r="B41" s="17">
        <f>ROUND(VLOOKUP(B$39&amp;"_1",管理者用人口入力シート!A:X,D41,FALSE),0)</f>
        <v>90</v>
      </c>
      <c r="C41" s="17">
        <f>ROUND(VLOOKUP(B$39&amp;"_2",管理者用人口入力シート!A:X,D41,FALSE),0)</f>
        <v>86</v>
      </c>
      <c r="D41" s="2">
        <v>4</v>
      </c>
      <c r="G41" s="1" t="s">
        <v>57</v>
      </c>
      <c r="H41" s="1">
        <f t="shared" ref="H41:H46" si="26">H5</f>
        <v>2015</v>
      </c>
      <c r="I41" s="17">
        <f>C25</f>
        <v>876</v>
      </c>
      <c r="J41" s="12"/>
      <c r="K41" s="12"/>
      <c r="N41" s="1" t="s">
        <v>57</v>
      </c>
      <c r="O41" s="1">
        <f t="shared" ref="O41:O46" si="27">O5</f>
        <v>2015</v>
      </c>
      <c r="P41" s="17">
        <f t="shared" ref="P41:P46" si="28">I41</f>
        <v>876</v>
      </c>
      <c r="Q41" s="17"/>
    </row>
    <row r="42" spans="1:17" x14ac:dyDescent="0.15">
      <c r="A42" s="2" t="s">
        <v>1</v>
      </c>
      <c r="B42" s="17">
        <f>ROUND(VLOOKUP(B$39&amp;"_1",管理者用人口入力シート!A:X,D42,FALSE),0)</f>
        <v>103</v>
      </c>
      <c r="C42" s="17">
        <f>ROUND(VLOOKUP(B$39&amp;"_2",管理者用人口入力シート!A:X,D42,FALSE),0)</f>
        <v>115</v>
      </c>
      <c r="D42" s="2">
        <v>5</v>
      </c>
      <c r="G42" s="1" t="s">
        <v>62</v>
      </c>
      <c r="H42" s="1">
        <f t="shared" si="26"/>
        <v>2020</v>
      </c>
      <c r="I42" s="17">
        <f>C26</f>
        <v>956</v>
      </c>
      <c r="J42" s="12"/>
      <c r="K42" s="12"/>
      <c r="N42" s="1" t="s">
        <v>62</v>
      </c>
      <c r="O42" s="1">
        <f t="shared" si="27"/>
        <v>2020</v>
      </c>
      <c r="P42" s="17">
        <f t="shared" si="28"/>
        <v>956</v>
      </c>
      <c r="Q42" s="17"/>
    </row>
    <row r="43" spans="1:17" x14ac:dyDescent="0.15">
      <c r="A43" s="2" t="s">
        <v>2</v>
      </c>
      <c r="B43" s="17">
        <f>ROUND(VLOOKUP(B$39&amp;"_1",管理者用人口入力シート!A:X,D43,FALSE),0)</f>
        <v>127</v>
      </c>
      <c r="C43" s="17">
        <f>ROUND(VLOOKUP(B$39&amp;"_2",管理者用人口入力シート!A:X,D43,FALSE),0)</f>
        <v>127</v>
      </c>
      <c r="D43" s="2">
        <v>6</v>
      </c>
      <c r="G43" s="1" t="s">
        <v>106</v>
      </c>
      <c r="H43" s="1">
        <f t="shared" si="26"/>
        <v>2025</v>
      </c>
      <c r="I43" s="17">
        <f>SUM(H84:I89)</f>
        <v>1019</v>
      </c>
      <c r="J43" s="12"/>
      <c r="K43" s="12"/>
      <c r="N43" s="1" t="s">
        <v>106</v>
      </c>
      <c r="O43" s="1">
        <f t="shared" si="27"/>
        <v>2025</v>
      </c>
      <c r="P43" s="17">
        <f t="shared" si="28"/>
        <v>1019</v>
      </c>
      <c r="Q43" s="17">
        <f>SUM(O84:P89)</f>
        <v>1019</v>
      </c>
    </row>
    <row r="44" spans="1:17" x14ac:dyDescent="0.15">
      <c r="A44" s="2" t="s">
        <v>3</v>
      </c>
      <c r="B44" s="17">
        <f>ROUND(VLOOKUP(B$39&amp;"_1",管理者用人口入力シート!A:X,D44,FALSE),0)</f>
        <v>122</v>
      </c>
      <c r="C44" s="17">
        <f>ROUND(VLOOKUP(B$39&amp;"_2",管理者用人口入力シート!A:X,D44,FALSE),0)</f>
        <v>110</v>
      </c>
      <c r="D44" s="2">
        <v>7</v>
      </c>
      <c r="G44" s="1" t="s">
        <v>107</v>
      </c>
      <c r="H44" s="1">
        <f t="shared" si="26"/>
        <v>2030</v>
      </c>
      <c r="I44" s="17">
        <f>SUM(H108:I113)</f>
        <v>1021</v>
      </c>
      <c r="J44" s="12"/>
      <c r="K44" s="12"/>
      <c r="N44" s="1" t="s">
        <v>107</v>
      </c>
      <c r="O44" s="1">
        <f t="shared" si="27"/>
        <v>2030</v>
      </c>
      <c r="P44" s="17">
        <f t="shared" si="28"/>
        <v>1021</v>
      </c>
      <c r="Q44" s="17">
        <f>SUM(O108:P113)</f>
        <v>1021</v>
      </c>
    </row>
    <row r="45" spans="1:17" x14ac:dyDescent="0.15">
      <c r="A45" s="2" t="s">
        <v>4</v>
      </c>
      <c r="B45" s="17">
        <f>ROUND(VLOOKUP(B$39&amp;"_1",管理者用人口入力シート!A:X,D45,FALSE),0)</f>
        <v>83</v>
      </c>
      <c r="C45" s="17">
        <f>ROUND(VLOOKUP(B$39&amp;"_2",管理者用人口入力シート!A:X,D45,FALSE),0)</f>
        <v>76</v>
      </c>
      <c r="D45" s="2">
        <v>8</v>
      </c>
      <c r="G45" s="1" t="s">
        <v>108</v>
      </c>
      <c r="H45" s="1">
        <f t="shared" si="26"/>
        <v>2035</v>
      </c>
      <c r="I45" s="17">
        <f>SUM(H132:I137)</f>
        <v>950</v>
      </c>
      <c r="J45" s="12"/>
      <c r="K45" s="12"/>
      <c r="N45" s="1" t="s">
        <v>108</v>
      </c>
      <c r="O45" s="1">
        <f t="shared" si="27"/>
        <v>2035</v>
      </c>
      <c r="P45" s="17">
        <f t="shared" si="28"/>
        <v>950</v>
      </c>
      <c r="Q45" s="17">
        <f>SUM(O132:P137)</f>
        <v>950</v>
      </c>
    </row>
    <row r="46" spans="1:17" x14ac:dyDescent="0.15">
      <c r="A46" s="2" t="s">
        <v>5</v>
      </c>
      <c r="B46" s="17">
        <f>ROUND(VLOOKUP(B$39&amp;"_1",管理者用人口入力シート!A:X,D46,FALSE),0)</f>
        <v>106</v>
      </c>
      <c r="C46" s="17">
        <f>ROUND(VLOOKUP(B$39&amp;"_2",管理者用人口入力シート!A:X,D46,FALSE),0)</f>
        <v>90</v>
      </c>
      <c r="D46" s="2">
        <v>9</v>
      </c>
      <c r="G46" s="1" t="s">
        <v>109</v>
      </c>
      <c r="H46" s="1">
        <f t="shared" si="26"/>
        <v>2040</v>
      </c>
      <c r="I46" s="17">
        <f>SUM(H156:I161)</f>
        <v>816</v>
      </c>
      <c r="J46" s="12"/>
      <c r="K46" s="12"/>
      <c r="N46" s="1" t="s">
        <v>109</v>
      </c>
      <c r="O46" s="1">
        <f t="shared" si="27"/>
        <v>2040</v>
      </c>
      <c r="P46" s="17">
        <f t="shared" si="28"/>
        <v>816</v>
      </c>
      <c r="Q46" s="17">
        <f>SUM(O156:P161)</f>
        <v>816</v>
      </c>
    </row>
    <row r="47" spans="1:17" x14ac:dyDescent="0.15">
      <c r="A47" s="2" t="s">
        <v>6</v>
      </c>
      <c r="B47" s="17">
        <f>ROUND(VLOOKUP(B$39&amp;"_1",管理者用人口入力シート!A:X,D47,FALSE),0)</f>
        <v>104</v>
      </c>
      <c r="C47" s="17">
        <f>ROUND(VLOOKUP(B$39&amp;"_2",管理者用人口入力シート!A:X,D47,FALSE),0)</f>
        <v>101</v>
      </c>
      <c r="D47" s="2">
        <v>10</v>
      </c>
    </row>
    <row r="48" spans="1:17" x14ac:dyDescent="0.15">
      <c r="A48" s="2" t="s">
        <v>7</v>
      </c>
      <c r="B48" s="17">
        <f>ROUND(VLOOKUP(B$39&amp;"_1",管理者用人口入力シート!A:X,D48,FALSE),0)</f>
        <v>129</v>
      </c>
      <c r="C48" s="17">
        <f>ROUND(VLOOKUP(B$39&amp;"_2",管理者用人口入力シート!A:X,D48,FALSE),0)</f>
        <v>145</v>
      </c>
      <c r="D48" s="2">
        <v>11</v>
      </c>
      <c r="G48" s="69" t="s">
        <v>85</v>
      </c>
      <c r="N48" s="69" t="s">
        <v>85</v>
      </c>
    </row>
    <row r="49" spans="1:17" x14ac:dyDescent="0.15">
      <c r="A49" s="2" t="s">
        <v>8</v>
      </c>
      <c r="B49" s="17">
        <f>ROUND(VLOOKUP(B$39&amp;"_1",管理者用人口入力シート!A:X,D49,FALSE),0)</f>
        <v>109</v>
      </c>
      <c r="C49" s="17">
        <f>ROUND(VLOOKUP(B$39&amp;"_2",管理者用人口入力シート!A:X,D49,FALSE),0)</f>
        <v>121</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125</v>
      </c>
      <c r="C50" s="17">
        <f>ROUND(VLOOKUP(B$39&amp;"_2",管理者用人口入力シート!A:X,D50,FALSE),0)</f>
        <v>120</v>
      </c>
      <c r="D50" s="2">
        <v>13</v>
      </c>
      <c r="G50" s="1" t="s">
        <v>58</v>
      </c>
      <c r="H50" s="1">
        <f>H4</f>
        <v>2010</v>
      </c>
      <c r="I50" s="38">
        <f>C30</f>
        <v>0.32</v>
      </c>
      <c r="J50" s="204"/>
      <c r="K50" s="204"/>
      <c r="N50" s="1" t="s">
        <v>58</v>
      </c>
      <c r="O50" s="1">
        <f>O4</f>
        <v>2010</v>
      </c>
      <c r="P50" s="38">
        <f t="shared" ref="P50:P56" si="29">I50</f>
        <v>0.32</v>
      </c>
      <c r="Q50" s="1"/>
    </row>
    <row r="51" spans="1:17" x14ac:dyDescent="0.15">
      <c r="A51" s="2" t="s">
        <v>10</v>
      </c>
      <c r="B51" s="17">
        <f>ROUND(VLOOKUP(B$39&amp;"_1",管理者用人口入力シート!A:X,D51,FALSE),0)</f>
        <v>179</v>
      </c>
      <c r="C51" s="17">
        <f>ROUND(VLOOKUP(B$39&amp;"_2",管理者用人口入力シート!A:X,D51,FALSE),0)</f>
        <v>159</v>
      </c>
      <c r="D51" s="2">
        <v>14</v>
      </c>
      <c r="G51" s="1" t="s">
        <v>57</v>
      </c>
      <c r="H51" s="1">
        <f t="shared" ref="H51:H56" si="30">H5</f>
        <v>2015</v>
      </c>
      <c r="I51" s="38">
        <f t="shared" ref="I51:I52" si="31">C31</f>
        <v>0.36</v>
      </c>
      <c r="J51" s="204"/>
      <c r="K51" s="204"/>
      <c r="N51" s="1" t="s">
        <v>57</v>
      </c>
      <c r="O51" s="1">
        <f t="shared" ref="O51:O56" si="32">O5</f>
        <v>2015</v>
      </c>
      <c r="P51" s="38">
        <f t="shared" si="29"/>
        <v>0.36</v>
      </c>
      <c r="Q51" s="1"/>
    </row>
    <row r="52" spans="1:17" x14ac:dyDescent="0.15">
      <c r="A52" s="2" t="s">
        <v>11</v>
      </c>
      <c r="B52" s="17">
        <f>ROUND(VLOOKUP(B$39&amp;"_1",管理者用人口入力シート!A:X,D52,FALSE),0)</f>
        <v>192</v>
      </c>
      <c r="C52" s="17">
        <f>ROUND(VLOOKUP(B$39&amp;"_2",管理者用人口入力シート!A:X,D52,FALSE),0)</f>
        <v>201</v>
      </c>
      <c r="D52" s="2">
        <v>15</v>
      </c>
      <c r="G52" s="1" t="s">
        <v>62</v>
      </c>
      <c r="H52" s="1">
        <f t="shared" si="30"/>
        <v>2020</v>
      </c>
      <c r="I52" s="38">
        <f t="shared" si="31"/>
        <v>0.39</v>
      </c>
      <c r="J52" s="204"/>
      <c r="K52" s="204"/>
      <c r="N52" s="1" t="s">
        <v>62</v>
      </c>
      <c r="O52" s="1">
        <f t="shared" si="32"/>
        <v>2020</v>
      </c>
      <c r="P52" s="38">
        <f t="shared" si="29"/>
        <v>0.39</v>
      </c>
      <c r="Q52" s="1"/>
    </row>
    <row r="53" spans="1:17" x14ac:dyDescent="0.15">
      <c r="A53" s="2" t="s">
        <v>12</v>
      </c>
      <c r="B53" s="17">
        <f>ROUND(VLOOKUP(B$39&amp;"_1",管理者用人口入力シート!A:X,D53,FALSE),0)</f>
        <v>191</v>
      </c>
      <c r="C53" s="17">
        <f>ROUND(VLOOKUP(B$39&amp;"_2",管理者用人口入力シート!A:X,D53,FALSE),0)</f>
        <v>238</v>
      </c>
      <c r="D53" s="2">
        <v>16</v>
      </c>
      <c r="G53" s="1" t="s">
        <v>106</v>
      </c>
      <c r="H53" s="1">
        <f t="shared" si="30"/>
        <v>2025</v>
      </c>
      <c r="I53" s="38">
        <f>ROUND((SUM(H82:I89)/SUM(H69:I89)),2)</f>
        <v>0.4</v>
      </c>
      <c r="J53" s="204"/>
      <c r="K53" s="204"/>
      <c r="L53" s="70"/>
      <c r="M53" s="70"/>
      <c r="N53" s="1" t="s">
        <v>106</v>
      </c>
      <c r="O53" s="1">
        <f t="shared" si="32"/>
        <v>2025</v>
      </c>
      <c r="P53" s="38">
        <f t="shared" si="29"/>
        <v>0.4</v>
      </c>
      <c r="Q53" s="38">
        <f>ROUND((SUM(O82:P89)/SUM(O69:P89)),2)</f>
        <v>0.4</v>
      </c>
    </row>
    <row r="54" spans="1:17" x14ac:dyDescent="0.15">
      <c r="A54" s="2" t="s">
        <v>13</v>
      </c>
      <c r="B54" s="17">
        <f>ROUND(VLOOKUP(B$39&amp;"_1",管理者用人口入力シート!A:X,D54,FALSE),0)</f>
        <v>178</v>
      </c>
      <c r="C54" s="17">
        <f>ROUND(VLOOKUP(B$39&amp;"_2",管理者用人口入力シート!A:X,D54,FALSE),0)</f>
        <v>179</v>
      </c>
      <c r="D54" s="2">
        <v>17</v>
      </c>
      <c r="G54" s="1" t="s">
        <v>107</v>
      </c>
      <c r="H54" s="1">
        <f t="shared" si="30"/>
        <v>2030</v>
      </c>
      <c r="I54" s="38">
        <f>ROUND((SUM(H106:I113)/SUM(H93:I113)),2)</f>
        <v>0.39</v>
      </c>
      <c r="J54" s="204"/>
      <c r="K54" s="204"/>
      <c r="N54" s="1" t="s">
        <v>107</v>
      </c>
      <c r="O54" s="1">
        <f t="shared" si="32"/>
        <v>2030</v>
      </c>
      <c r="P54" s="38">
        <f t="shared" si="29"/>
        <v>0.39</v>
      </c>
      <c r="Q54" s="38">
        <f>ROUND((SUM(O106:P113)/SUM(O93:P113)),2)</f>
        <v>0.39</v>
      </c>
    </row>
    <row r="55" spans="1:17" x14ac:dyDescent="0.15">
      <c r="A55" s="2" t="s">
        <v>14</v>
      </c>
      <c r="B55" s="17">
        <f>ROUND(VLOOKUP(B$39&amp;"_1",管理者用人口入力シート!A:X,D55,FALSE),0)</f>
        <v>152</v>
      </c>
      <c r="C55" s="17">
        <f>ROUND(VLOOKUP(B$39&amp;"_2",管理者用人口入力シート!A:X,D55,FALSE),0)</f>
        <v>185</v>
      </c>
      <c r="D55" s="2">
        <v>18</v>
      </c>
      <c r="G55" s="1" t="s">
        <v>108</v>
      </c>
      <c r="H55" s="1">
        <f t="shared" si="30"/>
        <v>2035</v>
      </c>
      <c r="I55" s="38">
        <f>ROUND((SUM(H130:I137)/SUM(H117:I137)),2)</f>
        <v>0.38</v>
      </c>
      <c r="J55" s="204"/>
      <c r="K55" s="204"/>
      <c r="N55" s="1" t="s">
        <v>108</v>
      </c>
      <c r="O55" s="1">
        <f t="shared" si="32"/>
        <v>2035</v>
      </c>
      <c r="P55" s="38">
        <f t="shared" si="29"/>
        <v>0.38</v>
      </c>
      <c r="Q55" s="38">
        <f>ROUND((SUM(O130:P137)/SUM(O117:P137)),2)</f>
        <v>0.38</v>
      </c>
    </row>
    <row r="56" spans="1:17" x14ac:dyDescent="0.15">
      <c r="A56" s="2" t="s">
        <v>15</v>
      </c>
      <c r="B56" s="17">
        <f>ROUND(VLOOKUP(B$39&amp;"_1",管理者用人口入力シート!A:X,D56,FALSE),0)</f>
        <v>133</v>
      </c>
      <c r="C56" s="17">
        <f>ROUND(VLOOKUP(B$39&amp;"_2",管理者用人口入力シート!A:X,D56,FALSE),0)</f>
        <v>191</v>
      </c>
      <c r="D56" s="2">
        <v>19</v>
      </c>
      <c r="G56" s="1" t="s">
        <v>109</v>
      </c>
      <c r="H56" s="1">
        <f t="shared" si="30"/>
        <v>2040</v>
      </c>
      <c r="I56" s="38">
        <f>ROUND((SUM(H154:I161)/SUM(H141:I161)),2)</f>
        <v>0.39</v>
      </c>
      <c r="J56" s="204"/>
      <c r="K56" s="204"/>
      <c r="N56" s="1" t="s">
        <v>109</v>
      </c>
      <c r="O56" s="1">
        <f t="shared" si="32"/>
        <v>2040</v>
      </c>
      <c r="P56" s="38">
        <f t="shared" si="29"/>
        <v>0.39</v>
      </c>
      <c r="Q56" s="38">
        <f>ROUND((SUM(O154:P161)/SUM(O141:P161)),2)</f>
        <v>0.38</v>
      </c>
    </row>
    <row r="57" spans="1:17" x14ac:dyDescent="0.15">
      <c r="A57" s="2" t="s">
        <v>16</v>
      </c>
      <c r="B57" s="17">
        <f>ROUND(VLOOKUP(B$39&amp;"_1",管理者用人口入力シート!A:X,D57,FALSE),0)</f>
        <v>108</v>
      </c>
      <c r="C57" s="17">
        <f>ROUND(VLOOKUP(B$39&amp;"_2",管理者用人口入力シート!A:X,D57,FALSE),0)</f>
        <v>166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36</v>
      </c>
      <c r="C58" s="17">
        <f>ROUND(VLOOKUP(B$39&amp;"_2",管理者用人口入力シート!A:X,D58,FALSE),0)</f>
        <v>119</v>
      </c>
      <c r="D58" s="2">
        <v>21</v>
      </c>
      <c r="G58" s="1" t="s">
        <v>58</v>
      </c>
      <c r="H58" s="1">
        <f>H4</f>
        <v>2010</v>
      </c>
      <c r="I58" s="38">
        <f>C34</f>
        <v>0.18</v>
      </c>
      <c r="J58" s="204"/>
      <c r="K58" s="204"/>
      <c r="N58" s="1" t="s">
        <v>58</v>
      </c>
      <c r="O58" s="1">
        <f>O4</f>
        <v>2010</v>
      </c>
      <c r="P58" s="38">
        <f t="shared" ref="P58:P64" si="33">I58</f>
        <v>0.18</v>
      </c>
      <c r="Q58" s="1"/>
    </row>
    <row r="59" spans="1:17" x14ac:dyDescent="0.15">
      <c r="A59" s="2" t="s">
        <v>18</v>
      </c>
      <c r="B59" s="17">
        <f>ROUND(VLOOKUP(B$39&amp;"_1",管理者用人口入力シート!A:X,D59,FALSE),0)</f>
        <v>21</v>
      </c>
      <c r="C59" s="17">
        <f>ROUND(VLOOKUP(B$39&amp;"_2",管理者用人口入力シート!A:X,D59,FALSE),0)</f>
        <v>85</v>
      </c>
      <c r="D59" s="2">
        <v>22</v>
      </c>
      <c r="G59" s="1" t="s">
        <v>57</v>
      </c>
      <c r="H59" s="1">
        <f t="shared" ref="H59:H64" si="34">H5</f>
        <v>2015</v>
      </c>
      <c r="I59" s="38">
        <f t="shared" ref="I59:I60" si="35">C35</f>
        <v>0.19</v>
      </c>
      <c r="J59" s="204"/>
      <c r="K59" s="204"/>
      <c r="N59" s="1" t="s">
        <v>57</v>
      </c>
      <c r="O59" s="1">
        <f t="shared" ref="O59:O64" si="36">O5</f>
        <v>2015</v>
      </c>
      <c r="P59" s="38">
        <f t="shared" si="33"/>
        <v>0.19</v>
      </c>
      <c r="Q59" s="1"/>
    </row>
    <row r="60" spans="1:17" x14ac:dyDescent="0.15">
      <c r="A60" s="2" t="s">
        <v>19</v>
      </c>
      <c r="B60" s="17">
        <f>ROUND(VLOOKUP(B$39&amp;"_1",管理者用人口入力シート!A:X,D60,FALSE),0)</f>
        <v>5</v>
      </c>
      <c r="C60" s="17">
        <f>ROUND(VLOOKUP(B$39&amp;"_2",管理者用人口入力シート!A:X,D60,FALSE),0)</f>
        <v>21</v>
      </c>
      <c r="D60" s="2">
        <v>23</v>
      </c>
      <c r="G60" s="1" t="s">
        <v>62</v>
      </c>
      <c r="H60" s="1">
        <f t="shared" si="34"/>
        <v>2020</v>
      </c>
      <c r="I60" s="38">
        <f t="shared" si="35"/>
        <v>0.21</v>
      </c>
      <c r="J60" s="204"/>
      <c r="K60" s="204"/>
      <c r="N60" s="1" t="s">
        <v>62</v>
      </c>
      <c r="O60" s="1">
        <f t="shared" si="36"/>
        <v>2020</v>
      </c>
      <c r="P60" s="38">
        <f t="shared" si="33"/>
        <v>0.21</v>
      </c>
      <c r="Q60" s="1"/>
    </row>
    <row r="61" spans="1:17" x14ac:dyDescent="0.15">
      <c r="A61" s="2" t="s">
        <v>20</v>
      </c>
      <c r="B61" s="17">
        <f>ROUND(VLOOKUP(B$39&amp;"_1",管理者用人口入力シート!A:X,D61,FALSE),0)</f>
        <v>0</v>
      </c>
      <c r="C61" s="17">
        <f>ROUND(VLOOKUP(B$39&amp;"_2",管理者用人口入力シート!A:X,D61,FALSE),0)</f>
        <v>5</v>
      </c>
      <c r="D61" s="2">
        <v>24</v>
      </c>
      <c r="G61" s="1" t="s">
        <v>106</v>
      </c>
      <c r="H61" s="1">
        <f t="shared" si="34"/>
        <v>2025</v>
      </c>
      <c r="I61" s="38">
        <f>ROUND((SUM(H84:I89)/SUM(H69:I89)),2)</f>
        <v>0.24</v>
      </c>
      <c r="J61" s="204"/>
      <c r="K61" s="204"/>
      <c r="N61" s="1" t="s">
        <v>106</v>
      </c>
      <c r="O61" s="1">
        <f t="shared" si="36"/>
        <v>2025</v>
      </c>
      <c r="P61" s="38">
        <f t="shared" si="33"/>
        <v>0.24</v>
      </c>
      <c r="Q61" s="38">
        <f>ROUND((SUM(O84:P89)/SUM(O69:P89)),2)</f>
        <v>0.24</v>
      </c>
    </row>
    <row r="62" spans="1:17" x14ac:dyDescent="0.15">
      <c r="G62" s="1" t="s">
        <v>107</v>
      </c>
      <c r="H62" s="1">
        <f t="shared" si="34"/>
        <v>2030</v>
      </c>
      <c r="I62" s="38">
        <f>ROUND((SUM(H108:I113)/SUM(H93:I113)),2)</f>
        <v>0.26</v>
      </c>
      <c r="J62" s="204"/>
      <c r="K62" s="204"/>
      <c r="N62" s="1" t="s">
        <v>107</v>
      </c>
      <c r="O62" s="1">
        <f t="shared" si="36"/>
        <v>2030</v>
      </c>
      <c r="P62" s="38">
        <f t="shared" si="33"/>
        <v>0.26</v>
      </c>
      <c r="Q62" s="38">
        <f>ROUND((SUM(O108:P113)/SUM(O93:P113)),2)</f>
        <v>0.26</v>
      </c>
    </row>
    <row r="63" spans="1:17" x14ac:dyDescent="0.15">
      <c r="A63" s="2" t="s">
        <v>384</v>
      </c>
      <c r="B63" s="314">
        <f>管理者入力シート!B6</f>
        <v>2015</v>
      </c>
      <c r="C63" s="315"/>
      <c r="D63" s="2" t="s">
        <v>114</v>
      </c>
      <c r="G63" s="1" t="s">
        <v>108</v>
      </c>
      <c r="H63" s="1">
        <f t="shared" si="34"/>
        <v>2035</v>
      </c>
      <c r="I63" s="38">
        <f>ROUND((SUM(H132:I137)/SUM(H117:I137)),2)</f>
        <v>0.26</v>
      </c>
      <c r="J63" s="204"/>
      <c r="K63" s="204"/>
      <c r="N63" s="1" t="s">
        <v>108</v>
      </c>
      <c r="O63" s="1">
        <f t="shared" si="36"/>
        <v>2035</v>
      </c>
      <c r="P63" s="38">
        <f t="shared" si="33"/>
        <v>0.26</v>
      </c>
      <c r="Q63" s="38">
        <f>ROUND((SUM(O132:P137)/SUM(O117:P137)),2)</f>
        <v>0.26</v>
      </c>
    </row>
    <row r="64" spans="1:17" x14ac:dyDescent="0.15">
      <c r="A64" s="2" t="s">
        <v>115</v>
      </c>
      <c r="B64" s="18" t="s">
        <v>21</v>
      </c>
      <c r="C64" s="18" t="s">
        <v>22</v>
      </c>
      <c r="G64" s="1" t="s">
        <v>109</v>
      </c>
      <c r="H64" s="1">
        <f t="shared" si="34"/>
        <v>2040</v>
      </c>
      <c r="I64" s="38">
        <f>ROUND((SUM(H156:I161)/SUM(H141:I161)),2)</f>
        <v>0.24</v>
      </c>
      <c r="J64" s="204"/>
      <c r="K64" s="204"/>
      <c r="N64" s="1" t="s">
        <v>109</v>
      </c>
      <c r="O64" s="1">
        <f t="shared" si="36"/>
        <v>2040</v>
      </c>
      <c r="P64" s="38">
        <f t="shared" si="33"/>
        <v>0.24</v>
      </c>
      <c r="Q64" s="38">
        <f>ROUND((SUM(O156:P161)/SUM(O141:P161)),2)</f>
        <v>0.24</v>
      </c>
    </row>
    <row r="65" spans="1:21" x14ac:dyDescent="0.15">
      <c r="A65" s="2" t="s">
        <v>0</v>
      </c>
      <c r="B65" s="17">
        <f>ROUND(VLOOKUP(B$63&amp;"_1",管理者用人口入力シート!A:X,D65,FALSE),0)</f>
        <v>78</v>
      </c>
      <c r="C65" s="17">
        <f>ROUND(VLOOKUP(B$63&amp;"_2",管理者用人口入力シート!A:X,D65,FALSE),0)</f>
        <v>92</v>
      </c>
      <c r="D65" s="2">
        <v>4</v>
      </c>
    </row>
    <row r="66" spans="1:21" x14ac:dyDescent="0.15">
      <c r="A66" s="2" t="s">
        <v>1</v>
      </c>
      <c r="B66" s="17">
        <f>ROUND(VLOOKUP(B$63&amp;"_1",管理者用人口入力シート!A:X,D66,FALSE),0)</f>
        <v>97</v>
      </c>
      <c r="C66" s="17">
        <f>ROUND(VLOOKUP(B$63&amp;"_2",管理者用人口入力シート!A:X,D66,FALSE),0)</f>
        <v>93</v>
      </c>
      <c r="D66" s="2">
        <v>5</v>
      </c>
      <c r="G66" s="69" t="s">
        <v>113</v>
      </c>
      <c r="N66" s="69" t="s">
        <v>113</v>
      </c>
    </row>
    <row r="67" spans="1:21" x14ac:dyDescent="0.15">
      <c r="A67" s="2" t="s">
        <v>2</v>
      </c>
      <c r="B67" s="17">
        <f>ROUND(VLOOKUP(B$63&amp;"_1",管理者用人口入力シート!A:X,D67,FALSE),0)</f>
        <v>112</v>
      </c>
      <c r="C67" s="17">
        <f>ROUND(VLOOKUP(B$63&amp;"_2",管理者用人口入力シート!A:X,D67,FALSE),0)</f>
        <v>119</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109</v>
      </c>
      <c r="C68" s="17">
        <f>ROUND(VLOOKUP(B$63&amp;"_2",管理者用人口入力シート!A:X,D68,FALSE),0)</f>
        <v>112</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77</v>
      </c>
      <c r="C69" s="17">
        <f>ROUND(VLOOKUP(B$63&amp;"_2",管理者用人口入力シート!A:X,D69,FALSE),0)</f>
        <v>72</v>
      </c>
      <c r="D69" s="2">
        <v>8</v>
      </c>
      <c r="G69" s="2" t="s">
        <v>0</v>
      </c>
      <c r="H69" s="17">
        <f>ROUND(VLOOKUP(H$67&amp;"_1",管理者用人口入力シート!BH:CE,J69,FALSE),0)</f>
        <v>95</v>
      </c>
      <c r="I69" s="17">
        <f>ROUND(VLOOKUP(H$67&amp;"_2",管理者用人口入力シート!BH:CE,J69,FALSE),0)</f>
        <v>69</v>
      </c>
      <c r="J69" s="2">
        <v>4</v>
      </c>
      <c r="K69" s="12"/>
      <c r="N69" s="2" t="s">
        <v>0</v>
      </c>
      <c r="O69" s="17">
        <f>ROUND(VLOOKUP(O$67&amp;"_1",管理者用人口入力シート!CO:DL,Q69,FALSE),0)</f>
        <v>96</v>
      </c>
      <c r="P69" s="17">
        <f>ROUND(VLOOKUP(O$67&amp;"_2",管理者用人口入力シート!CO:DL,Q69,FALSE),0)</f>
        <v>70</v>
      </c>
      <c r="Q69" s="2">
        <v>4</v>
      </c>
      <c r="U69" s="85"/>
    </row>
    <row r="70" spans="1:21" x14ac:dyDescent="0.15">
      <c r="A70" s="2" t="s">
        <v>5</v>
      </c>
      <c r="B70" s="17">
        <f>ROUND(VLOOKUP(B$63&amp;"_1",管理者用人口入力シート!A:X,D70,FALSE),0)</f>
        <v>82</v>
      </c>
      <c r="C70" s="17">
        <f>ROUND(VLOOKUP(B$63&amp;"_2",管理者用人口入力シート!A:X,D70,FALSE),0)</f>
        <v>72</v>
      </c>
      <c r="D70" s="2">
        <v>9</v>
      </c>
      <c r="G70" s="2" t="s">
        <v>1</v>
      </c>
      <c r="H70" s="17">
        <f>ROUND(VLOOKUP(H$67&amp;"_1",管理者用人口入力シート!BH:CE,J70,FALSE),0)</f>
        <v>111</v>
      </c>
      <c r="I70" s="17">
        <f>ROUND(VLOOKUP(H$67&amp;"_2",管理者用人口入力シート!BH:CE,J70,FALSE),0)</f>
        <v>80</v>
      </c>
      <c r="J70" s="2">
        <v>5</v>
      </c>
      <c r="K70" s="12"/>
      <c r="N70" s="2" t="s">
        <v>1</v>
      </c>
      <c r="O70" s="17">
        <f>ROUND(VLOOKUP(O$67&amp;"_1",管理者用人口入力シート!CO:DL,Q70,FALSE),0)</f>
        <v>111</v>
      </c>
      <c r="P70" s="17">
        <f>ROUND(VLOOKUP(O$67&amp;"_2",管理者用人口入力シート!CO:DL,Q70,FALSE),0)</f>
        <v>80</v>
      </c>
      <c r="Q70" s="2">
        <v>5</v>
      </c>
      <c r="U70" s="85"/>
    </row>
    <row r="71" spans="1:21" x14ac:dyDescent="0.15">
      <c r="A71" s="2" t="s">
        <v>6</v>
      </c>
      <c r="B71" s="17">
        <f>ROUND(VLOOKUP(B$63&amp;"_1",管理者用人口入力シート!A:X,D71,FALSE),0)</f>
        <v>106</v>
      </c>
      <c r="C71" s="17">
        <f>ROUND(VLOOKUP(B$63&amp;"_2",管理者用人口入力シート!A:X,D71,FALSE),0)</f>
        <v>89</v>
      </c>
      <c r="D71" s="2">
        <v>10</v>
      </c>
      <c r="G71" s="2" t="s">
        <v>2</v>
      </c>
      <c r="H71" s="17">
        <f>ROUND(VLOOKUP(H$67&amp;"_1",管理者用人口入力シート!BH:CE,J71,FALSE),0)</f>
        <v>91</v>
      </c>
      <c r="I71" s="17">
        <f>ROUND(VLOOKUP(H$67&amp;"_2",管理者用人口入力シート!BH:CE,J71,FALSE),0)</f>
        <v>100</v>
      </c>
      <c r="J71" s="2">
        <v>6</v>
      </c>
      <c r="K71" s="12"/>
      <c r="N71" s="2" t="s">
        <v>2</v>
      </c>
      <c r="O71" s="17">
        <f>ROUND(VLOOKUP(O$67&amp;"_1",管理者用人口入力シート!CO:DL,Q71,FALSE),0)</f>
        <v>92</v>
      </c>
      <c r="P71" s="17">
        <f>ROUND(VLOOKUP(O$67&amp;"_2",管理者用人口入力シート!CO:DL,Q71,FALSE),0)</f>
        <v>101</v>
      </c>
      <c r="Q71" s="2">
        <v>6</v>
      </c>
      <c r="U71" s="85"/>
    </row>
    <row r="72" spans="1:21" x14ac:dyDescent="0.15">
      <c r="A72" s="2" t="s">
        <v>7</v>
      </c>
      <c r="B72" s="17">
        <f>ROUND(VLOOKUP(B$63&amp;"_1",管理者用人口入力シート!A:X,D72,FALSE),0)</f>
        <v>106</v>
      </c>
      <c r="C72" s="17">
        <f>ROUND(VLOOKUP(B$63&amp;"_2",管理者用人口入力シート!A:X,D72,FALSE),0)</f>
        <v>109</v>
      </c>
      <c r="D72" s="2">
        <v>11</v>
      </c>
      <c r="G72" s="2" t="s">
        <v>3</v>
      </c>
      <c r="H72" s="17">
        <f>ROUND(VLOOKUP(H$67&amp;"_1",管理者用人口入力シート!BH:CE,J72,FALSE),0)</f>
        <v>77</v>
      </c>
      <c r="I72" s="17">
        <f>ROUND(VLOOKUP(H$67&amp;"_2",管理者用人口入力シート!BH:CE,J72,FALSE),0)</f>
        <v>77</v>
      </c>
      <c r="J72" s="2">
        <v>7</v>
      </c>
      <c r="K72" s="12"/>
      <c r="N72" s="2" t="s">
        <v>3</v>
      </c>
      <c r="O72" s="17">
        <f>ROUND(VLOOKUP(O$67&amp;"_1",管理者用人口入力シート!CO:DL,Q72,FALSE),0)</f>
        <v>77</v>
      </c>
      <c r="P72" s="17">
        <f>ROUND(VLOOKUP(O$67&amp;"_2",管理者用人口入力シート!CO:DL,Q72,FALSE),0)</f>
        <v>77</v>
      </c>
      <c r="Q72" s="2">
        <v>7</v>
      </c>
      <c r="U72" s="85"/>
    </row>
    <row r="73" spans="1:21" x14ac:dyDescent="0.15">
      <c r="A73" s="2" t="s">
        <v>8</v>
      </c>
      <c r="B73" s="17">
        <f>ROUND(VLOOKUP(B$63&amp;"_1",管理者用人口入力シート!A:X,D73,FALSE),0)</f>
        <v>122</v>
      </c>
      <c r="C73" s="17">
        <f>ROUND(VLOOKUP(B$63&amp;"_2",管理者用人口入力シート!A:X,D73,FALSE),0)</f>
        <v>129</v>
      </c>
      <c r="D73" s="2">
        <v>12</v>
      </c>
      <c r="G73" s="2" t="s">
        <v>4</v>
      </c>
      <c r="H73" s="17">
        <f>ROUND(VLOOKUP(H$67&amp;"_1",管理者用人口入力シート!BH:CE,J73,FALSE),0)</f>
        <v>54</v>
      </c>
      <c r="I73" s="17">
        <f>ROUND(VLOOKUP(H$67&amp;"_2",管理者用人口入力シート!BH:CE,J73,FALSE),0)</f>
        <v>63</v>
      </c>
      <c r="J73" s="2">
        <v>8</v>
      </c>
      <c r="K73" s="12"/>
      <c r="N73" s="2" t="s">
        <v>4</v>
      </c>
      <c r="O73" s="17">
        <f>ROUND(VLOOKUP(O$67&amp;"_1",管理者用人口入力シート!CO:DL,Q73,FALSE),0)</f>
        <v>54</v>
      </c>
      <c r="P73" s="17">
        <f>ROUND(VLOOKUP(O$67&amp;"_2",管理者用人口入力シート!CO:DL,Q73,FALSE),0)</f>
        <v>63</v>
      </c>
      <c r="Q73" s="2">
        <v>8</v>
      </c>
      <c r="U73" s="85"/>
    </row>
    <row r="74" spans="1:21" x14ac:dyDescent="0.15">
      <c r="A74" s="2" t="s">
        <v>9</v>
      </c>
      <c r="B74" s="17">
        <f>ROUND(VLOOKUP(B$63&amp;"_1",管理者用人口入力シート!A:X,D74,FALSE),0)</f>
        <v>115</v>
      </c>
      <c r="C74" s="17">
        <f>ROUND(VLOOKUP(B$63&amp;"_2",管理者用人口入力シート!A:X,D74,FALSE),0)</f>
        <v>136</v>
      </c>
      <c r="D74" s="2">
        <v>13</v>
      </c>
      <c r="G74" s="2" t="s">
        <v>5</v>
      </c>
      <c r="H74" s="17">
        <f>ROUND(VLOOKUP(H$67&amp;"_1",管理者用人口入力シート!BH:CE,J74,FALSE),0)</f>
        <v>78</v>
      </c>
      <c r="I74" s="17">
        <f>ROUND(VLOOKUP(H$67&amp;"_2",管理者用人口入力シート!BH:CE,J74,FALSE),0)</f>
        <v>68</v>
      </c>
      <c r="J74" s="2">
        <v>9</v>
      </c>
      <c r="K74" s="12"/>
      <c r="N74" s="2" t="s">
        <v>5</v>
      </c>
      <c r="O74" s="17">
        <f>ROUND(VLOOKUP(O$67&amp;"_1",管理者用人口入力シート!CO:DL,Q74,FALSE),0)</f>
        <v>80</v>
      </c>
      <c r="P74" s="17">
        <f>ROUND(VLOOKUP(O$67&amp;"_2",管理者用人口入力シート!CO:DL,Q74,FALSE),0)</f>
        <v>70</v>
      </c>
      <c r="Q74" s="2">
        <v>9</v>
      </c>
      <c r="U74" s="85"/>
    </row>
    <row r="75" spans="1:21" x14ac:dyDescent="0.15">
      <c r="A75" s="2" t="s">
        <v>10</v>
      </c>
      <c r="B75" s="17">
        <f>ROUND(VLOOKUP(B$63&amp;"_1",管理者用人口入力シート!A:X,D75,FALSE),0)</f>
        <v>122</v>
      </c>
      <c r="C75" s="17">
        <f>ROUND(VLOOKUP(B$63&amp;"_2",管理者用人口入力シート!A:X,D75,FALSE),0)</f>
        <v>120</v>
      </c>
      <c r="D75" s="2">
        <v>14</v>
      </c>
      <c r="G75" s="2" t="s">
        <v>6</v>
      </c>
      <c r="H75" s="17">
        <f>ROUND(VLOOKUP(H$67&amp;"_1",管理者用人口入力シート!BH:CE,J75,FALSE),0)</f>
        <v>83</v>
      </c>
      <c r="I75" s="17">
        <f>ROUND(VLOOKUP(H$67&amp;"_2",管理者用人口入力シート!BH:CE,J75,FALSE),0)</f>
        <v>89</v>
      </c>
      <c r="J75" s="2">
        <v>10</v>
      </c>
      <c r="K75" s="12"/>
      <c r="N75" s="2" t="s">
        <v>6</v>
      </c>
      <c r="O75" s="17">
        <f>ROUND(VLOOKUP(O$67&amp;"_1",管理者用人口入力シート!CO:DL,Q75,FALSE),0)</f>
        <v>83</v>
      </c>
      <c r="P75" s="17">
        <f>ROUND(VLOOKUP(O$67&amp;"_2",管理者用人口入力シート!CO:DL,Q75,FALSE),0)</f>
        <v>89</v>
      </c>
      <c r="Q75" s="2">
        <v>10</v>
      </c>
      <c r="U75" s="85"/>
    </row>
    <row r="76" spans="1:21" x14ac:dyDescent="0.15">
      <c r="A76" s="2" t="s">
        <v>11</v>
      </c>
      <c r="B76" s="17">
        <f>ROUND(VLOOKUP(B$63&amp;"_1",管理者用人口入力シート!A:X,D76,FALSE),0)</f>
        <v>166</v>
      </c>
      <c r="C76" s="17">
        <f>ROUND(VLOOKUP(B$63&amp;"_2",管理者用人口入力シート!A:X,D76,FALSE),0)</f>
        <v>155</v>
      </c>
      <c r="D76" s="2">
        <v>15</v>
      </c>
      <c r="G76" s="2" t="s">
        <v>7</v>
      </c>
      <c r="H76" s="17">
        <f>ROUND(VLOOKUP(H$67&amp;"_1",管理者用人口入力シート!BH:CE,J76,FALSE),0)</f>
        <v>99</v>
      </c>
      <c r="I76" s="17">
        <f>ROUND(VLOOKUP(H$67&amp;"_2",管理者用人口入力シート!BH:CE,J76,FALSE),0)</f>
        <v>91</v>
      </c>
      <c r="J76" s="2">
        <v>11</v>
      </c>
      <c r="K76" s="12"/>
      <c r="N76" s="2" t="s">
        <v>7</v>
      </c>
      <c r="O76" s="17">
        <f>ROUND(VLOOKUP(O$67&amp;"_1",管理者用人口入力シート!CO:DL,Q76,FALSE),0)</f>
        <v>99</v>
      </c>
      <c r="P76" s="17">
        <f>ROUND(VLOOKUP(O$67&amp;"_2",管理者用人口入力シート!CO:DL,Q76,FALSE),0)</f>
        <v>91</v>
      </c>
      <c r="Q76" s="2">
        <v>11</v>
      </c>
      <c r="U76" s="85"/>
    </row>
    <row r="77" spans="1:21" x14ac:dyDescent="0.15">
      <c r="A77" s="2" t="s">
        <v>12</v>
      </c>
      <c r="B77" s="17">
        <f>ROUND(VLOOKUP(B$63&amp;"_1",管理者用人口入力シート!A:X,D77,FALSE),0)</f>
        <v>187</v>
      </c>
      <c r="C77" s="17">
        <f>ROUND(VLOOKUP(B$63&amp;"_2",管理者用人口入力シート!A:X,D77,FALSE),0)</f>
        <v>210</v>
      </c>
      <c r="D77" s="2">
        <v>16</v>
      </c>
      <c r="G77" s="2" t="s">
        <v>8</v>
      </c>
      <c r="H77" s="17">
        <f>ROUND(VLOOKUP(H$67&amp;"_1",管理者用人口入力シート!BH:CE,J77,FALSE),0)</f>
        <v>111</v>
      </c>
      <c r="I77" s="17">
        <f>ROUND(VLOOKUP(H$67&amp;"_2",管理者用人口入力シート!BH:CE,J77,FALSE),0)</f>
        <v>98</v>
      </c>
      <c r="J77" s="2">
        <v>12</v>
      </c>
      <c r="K77" s="12"/>
      <c r="N77" s="2" t="s">
        <v>8</v>
      </c>
      <c r="O77" s="17">
        <f>ROUND(VLOOKUP(O$67&amp;"_1",管理者用人口入力シート!CO:DL,Q77,FALSE),0)</f>
        <v>111</v>
      </c>
      <c r="P77" s="17">
        <f>ROUND(VLOOKUP(O$67&amp;"_2",管理者用人口入力シート!CO:DL,Q77,FALSE),0)</f>
        <v>99</v>
      </c>
      <c r="Q77" s="2">
        <v>12</v>
      </c>
      <c r="U77" s="85"/>
    </row>
    <row r="78" spans="1:21" x14ac:dyDescent="0.15">
      <c r="A78" s="2" t="s">
        <v>13</v>
      </c>
      <c r="B78" s="17">
        <f>ROUND(VLOOKUP(B$63&amp;"_1",管理者用人口入力シート!A:X,D78,FALSE),0)</f>
        <v>197</v>
      </c>
      <c r="C78" s="17">
        <f>ROUND(VLOOKUP(B$63&amp;"_2",管理者用人口入力シート!A:X,D78,FALSE),0)</f>
        <v>240</v>
      </c>
      <c r="D78" s="2">
        <v>17</v>
      </c>
      <c r="G78" s="2" t="s">
        <v>9</v>
      </c>
      <c r="H78" s="17">
        <f>ROUND(VLOOKUP(H$67&amp;"_1",管理者用人口入力シート!BH:CE,J78,FALSE),0)</f>
        <v>127</v>
      </c>
      <c r="I78" s="17">
        <f>ROUND(VLOOKUP(H$67&amp;"_2",管理者用人口入力シート!BH:CE,J78,FALSE),0)</f>
        <v>127</v>
      </c>
      <c r="J78" s="2">
        <v>13</v>
      </c>
      <c r="K78" s="12"/>
      <c r="N78" s="2" t="s">
        <v>9</v>
      </c>
      <c r="O78" s="17">
        <f>ROUND(VLOOKUP(O$67&amp;"_1",管理者用人口入力シート!CO:DL,Q78,FALSE),0)</f>
        <v>127</v>
      </c>
      <c r="P78" s="17">
        <f>ROUND(VLOOKUP(O$67&amp;"_2",管理者用人口入力シート!CO:DL,Q78,FALSE),0)</f>
        <v>127</v>
      </c>
      <c r="Q78" s="2">
        <v>13</v>
      </c>
      <c r="U78" s="85"/>
    </row>
    <row r="79" spans="1:21" x14ac:dyDescent="0.15">
      <c r="A79" s="2" t="s">
        <v>14</v>
      </c>
      <c r="B79" s="17">
        <f>ROUND(VLOOKUP(B$63&amp;"_1",管理者用人口入力シート!A:X,D79,FALSE),0)</f>
        <v>164</v>
      </c>
      <c r="C79" s="17">
        <f>ROUND(VLOOKUP(B$63&amp;"_2",管理者用人口入力シート!A:X,D79,FALSE),0)</f>
        <v>169</v>
      </c>
      <c r="D79" s="2">
        <v>18</v>
      </c>
      <c r="G79" s="2" t="s">
        <v>10</v>
      </c>
      <c r="H79" s="17">
        <f>ROUND(VLOOKUP(H$67&amp;"_1",管理者用人口入力シート!BH:CE,J79,FALSE),0)</f>
        <v>135</v>
      </c>
      <c r="I79" s="17">
        <f>ROUND(VLOOKUP(H$67&amp;"_2",管理者用人口入力シート!BH:CE,J79,FALSE),0)</f>
        <v>143</v>
      </c>
      <c r="J79" s="2">
        <v>14</v>
      </c>
      <c r="K79" s="12"/>
      <c r="N79" s="2" t="s">
        <v>10</v>
      </c>
      <c r="O79" s="17">
        <f>ROUND(VLOOKUP(O$67&amp;"_1",管理者用人口入力シート!CO:DL,Q79,FALSE),0)</f>
        <v>135</v>
      </c>
      <c r="P79" s="17">
        <f>ROUND(VLOOKUP(O$67&amp;"_2",管理者用人口入力シート!CO:DL,Q79,FALSE),0)</f>
        <v>143</v>
      </c>
      <c r="Q79" s="2">
        <v>14</v>
      </c>
      <c r="U79" s="85"/>
    </row>
    <row r="80" spans="1:21" x14ac:dyDescent="0.15">
      <c r="A80" s="2" t="s">
        <v>15</v>
      </c>
      <c r="B80" s="17">
        <f>ROUND(VLOOKUP(B$63&amp;"_1",管理者用人口入力シート!A:X,D80,FALSE),0)</f>
        <v>128</v>
      </c>
      <c r="C80" s="17">
        <f>ROUND(VLOOKUP(B$63&amp;"_2",管理者用人口入力シート!A:X,D80,FALSE),0)</f>
        <v>171</v>
      </c>
      <c r="D80" s="2">
        <v>19</v>
      </c>
      <c r="G80" s="2" t="s">
        <v>11</v>
      </c>
      <c r="H80" s="17">
        <f>ROUND(VLOOKUP(H$67&amp;"_1",管理者用人口入力シート!BH:CE,J80,FALSE),0)</f>
        <v>115</v>
      </c>
      <c r="I80" s="17">
        <f>ROUND(VLOOKUP(H$67&amp;"_2",管理者用人口入力シート!BH:CE,J80,FALSE),0)</f>
        <v>135</v>
      </c>
      <c r="J80" s="2">
        <v>15</v>
      </c>
      <c r="K80" s="12"/>
      <c r="N80" s="2" t="s">
        <v>11</v>
      </c>
      <c r="O80" s="17">
        <f>ROUND(VLOOKUP(O$67&amp;"_1",管理者用人口入力シート!CO:DL,Q80,FALSE),0)</f>
        <v>115</v>
      </c>
      <c r="P80" s="17">
        <f>ROUND(VLOOKUP(O$67&amp;"_2",管理者用人口入力シート!CO:DL,Q80,FALSE),0)</f>
        <v>135</v>
      </c>
      <c r="Q80" s="2">
        <v>15</v>
      </c>
      <c r="U80" s="85"/>
    </row>
    <row r="81" spans="1:21" x14ac:dyDescent="0.15">
      <c r="A81" s="2" t="s">
        <v>16</v>
      </c>
      <c r="B81" s="17">
        <f>ROUND(VLOOKUP(B$63&amp;"_1",管理者用人口入力シート!A:X,D81,FALSE),0)</f>
        <v>104</v>
      </c>
      <c r="C81" s="17">
        <f>ROUND(VLOOKUP(B$63&amp;"_2",管理者用人口入力シート!A:X,D81,FALSE),0)</f>
        <v>169</v>
      </c>
      <c r="D81" s="2">
        <v>20</v>
      </c>
      <c r="G81" s="2" t="s">
        <v>12</v>
      </c>
      <c r="H81" s="17">
        <f>ROUND(VLOOKUP(H$67&amp;"_1",管理者用人口入力シート!BH:CE,J81,FALSE),0)</f>
        <v>115</v>
      </c>
      <c r="I81" s="17">
        <f>ROUND(VLOOKUP(H$67&amp;"_2",管理者用人口入力シート!BH:CE,J81,FALSE),0)</f>
        <v>116</v>
      </c>
      <c r="J81" s="2">
        <v>16</v>
      </c>
      <c r="K81" s="12"/>
      <c r="N81" s="2" t="s">
        <v>12</v>
      </c>
      <c r="O81" s="17">
        <f>ROUND(VLOOKUP(O$67&amp;"_1",管理者用人口入力シート!CO:DL,Q81,FALSE),0)</f>
        <v>115</v>
      </c>
      <c r="P81" s="17">
        <f>ROUND(VLOOKUP(O$67&amp;"_2",管理者用人口入力シート!CO:DL,Q81,FALSE),0)</f>
        <v>116</v>
      </c>
      <c r="Q81" s="2">
        <v>16</v>
      </c>
      <c r="U81" s="85"/>
    </row>
    <row r="82" spans="1:21" x14ac:dyDescent="0.15">
      <c r="A82" s="2" t="s">
        <v>17</v>
      </c>
      <c r="B82" s="17">
        <f>ROUND(VLOOKUP(B$63&amp;"_1",管理者用人口入力シート!A:X,D82,FALSE),0)</f>
        <v>58</v>
      </c>
      <c r="C82" s="17">
        <f>ROUND(VLOOKUP(B$63&amp;"_2",管理者用人口入力シート!A:X,D82,FALSE),0)</f>
        <v>120</v>
      </c>
      <c r="D82" s="2">
        <v>21</v>
      </c>
      <c r="G82" s="2" t="s">
        <v>13</v>
      </c>
      <c r="H82" s="17">
        <f>ROUND(VLOOKUP(H$67&amp;"_1",管理者用人口入力シート!BH:CE,J82,FALSE),0)</f>
        <v>155</v>
      </c>
      <c r="I82" s="17">
        <f>ROUND(VLOOKUP(H$67&amp;"_2",管理者用人口入力シート!BH:CE,J82,FALSE),0)</f>
        <v>153</v>
      </c>
      <c r="J82" s="2">
        <v>17</v>
      </c>
      <c r="K82" s="12"/>
      <c r="N82" s="2" t="s">
        <v>13</v>
      </c>
      <c r="O82" s="17">
        <f>ROUND(VLOOKUP(O$67&amp;"_1",管理者用人口入力シート!CO:DL,Q82,FALSE),0)</f>
        <v>155</v>
      </c>
      <c r="P82" s="17">
        <f>ROUND(VLOOKUP(O$67&amp;"_2",管理者用人口入力シート!CO:DL,Q82,FALSE),0)</f>
        <v>153</v>
      </c>
      <c r="Q82" s="2">
        <v>17</v>
      </c>
      <c r="U82" s="85"/>
    </row>
    <row r="83" spans="1:21" x14ac:dyDescent="0.15">
      <c r="A83" s="2" t="s">
        <v>18</v>
      </c>
      <c r="B83" s="17">
        <f>ROUND(VLOOKUP(B$63&amp;"_1",管理者用人口入力シート!A:X,D83,FALSE),0)</f>
        <v>12</v>
      </c>
      <c r="C83" s="17">
        <f>ROUND(VLOOKUP(B$63&amp;"_2",管理者用人口入力シート!A:X,D83,FALSE),0)</f>
        <v>66</v>
      </c>
      <c r="D83" s="2">
        <v>22</v>
      </c>
      <c r="G83" s="2" t="s">
        <v>14</v>
      </c>
      <c r="H83" s="17">
        <f>ROUND(VLOOKUP(H$67&amp;"_1",管理者用人口入力シート!BH:CE,J83,FALSE),0)</f>
        <v>165</v>
      </c>
      <c r="I83" s="17">
        <f>ROUND(VLOOKUP(H$67&amp;"_2",管理者用人口入力シート!BH:CE,J83,FALSE),0)</f>
        <v>201</v>
      </c>
      <c r="J83" s="2">
        <v>18</v>
      </c>
      <c r="K83" s="12"/>
      <c r="N83" s="2" t="s">
        <v>14</v>
      </c>
      <c r="O83" s="17">
        <f>ROUND(VLOOKUP(O$67&amp;"_1",管理者用人口入力シート!CO:DL,Q83,FALSE),0)</f>
        <v>165</v>
      </c>
      <c r="P83" s="17">
        <f>ROUND(VLOOKUP(O$67&amp;"_2",管理者用人口入力シート!CO:DL,Q83,FALSE),0)</f>
        <v>201</v>
      </c>
      <c r="Q83" s="2">
        <v>18</v>
      </c>
      <c r="U83" s="85"/>
    </row>
    <row r="84" spans="1:21" x14ac:dyDescent="0.15">
      <c r="A84" s="2" t="s">
        <v>19</v>
      </c>
      <c r="B84" s="17">
        <f>ROUND(VLOOKUP(B$63&amp;"_1",管理者用人口入力シート!A:X,D84,FALSE),0)</f>
        <v>6</v>
      </c>
      <c r="C84" s="17">
        <f>ROUND(VLOOKUP(B$63&amp;"_2",管理者用人口入力シート!A:X,D84,FALSE),0)</f>
        <v>32</v>
      </c>
      <c r="D84" s="2">
        <v>23</v>
      </c>
      <c r="G84" s="2" t="s">
        <v>15</v>
      </c>
      <c r="H84" s="17">
        <f>ROUND(VLOOKUP(H$67&amp;"_1",管理者用人口入力シート!BH:CE,J84,FALSE),0)</f>
        <v>155</v>
      </c>
      <c r="I84" s="17">
        <f>ROUND(VLOOKUP(H$67&amp;"_2",管理者用人口入力シート!BH:CE,J84,FALSE),0)</f>
        <v>225</v>
      </c>
      <c r="J84" s="2">
        <v>19</v>
      </c>
      <c r="K84" s="12"/>
      <c r="N84" s="2" t="s">
        <v>15</v>
      </c>
      <c r="O84" s="17">
        <f>ROUND(VLOOKUP(O$67&amp;"_1",管理者用人口入力シート!CO:DL,Q84,FALSE),0)</f>
        <v>155</v>
      </c>
      <c r="P84" s="17">
        <f>ROUND(VLOOKUP(O$67&amp;"_2",管理者用人口入力シート!CO:DL,Q84,FALSE),0)</f>
        <v>225</v>
      </c>
      <c r="Q84" s="2">
        <v>19</v>
      </c>
      <c r="U84" s="85"/>
    </row>
    <row r="85" spans="1:21" x14ac:dyDescent="0.15">
      <c r="A85" s="2" t="s">
        <v>20</v>
      </c>
      <c r="B85" s="17">
        <f>ROUND(VLOOKUP(B$63&amp;"_1",管理者用人口入力シート!A:X,D85,FALSE),0)</f>
        <v>1</v>
      </c>
      <c r="C85" s="17">
        <f>ROUND(VLOOKUP(B$63&amp;"_2",管理者用人口入力シート!A:X,D85,FALSE),0)</f>
        <v>9</v>
      </c>
      <c r="D85" s="2">
        <v>24</v>
      </c>
      <c r="G85" s="2" t="s">
        <v>16</v>
      </c>
      <c r="H85" s="17">
        <f>ROUND(VLOOKUP(H$67&amp;"_1",管理者用人口入力シート!BH:CE,J85,FALSE),0)</f>
        <v>124</v>
      </c>
      <c r="I85" s="17">
        <f>ROUND(VLOOKUP(H$67&amp;"_2",管理者用人口入力シート!BH:CE,J85,FALSE),0)</f>
        <v>145</v>
      </c>
      <c r="J85" s="2">
        <v>20</v>
      </c>
      <c r="K85" s="12"/>
      <c r="N85" s="2" t="s">
        <v>16</v>
      </c>
      <c r="O85" s="17">
        <f>ROUND(VLOOKUP(O$67&amp;"_1",管理者用人口入力シート!CO:DL,Q85,FALSE),0)</f>
        <v>124</v>
      </c>
      <c r="P85" s="17">
        <f>ROUND(VLOOKUP(O$67&amp;"_2",管理者用人口入力シート!CO:DL,Q85,FALSE),0)</f>
        <v>145</v>
      </c>
      <c r="Q85" s="2">
        <v>20</v>
      </c>
      <c r="U85" s="85"/>
    </row>
    <row r="86" spans="1:21" x14ac:dyDescent="0.15">
      <c r="G86" s="2" t="s">
        <v>17</v>
      </c>
      <c r="H86" s="17">
        <f>ROUND(VLOOKUP(H$67&amp;"_1",管理者用人口入力シート!BH:CE,J86,FALSE),0)</f>
        <v>68</v>
      </c>
      <c r="I86" s="17">
        <f>ROUND(VLOOKUP(H$67&amp;"_2",管理者用人口入力シート!BH:CE,J86,FALSE),0)</f>
        <v>125</v>
      </c>
      <c r="J86" s="2">
        <v>21</v>
      </c>
      <c r="K86" s="12"/>
      <c r="N86" s="2" t="s">
        <v>17</v>
      </c>
      <c r="O86" s="17">
        <f>ROUND(VLOOKUP(O$67&amp;"_1",管理者用人口入力シート!CO:DL,Q86,FALSE),0)</f>
        <v>68</v>
      </c>
      <c r="P86" s="17">
        <f>ROUND(VLOOKUP(O$67&amp;"_2",管理者用人口入力シート!CO:DL,Q86,FALSE),0)</f>
        <v>125</v>
      </c>
      <c r="Q86" s="2">
        <v>21</v>
      </c>
      <c r="U86" s="85"/>
    </row>
    <row r="87" spans="1:21" x14ac:dyDescent="0.15">
      <c r="A87" s="2" t="s">
        <v>62</v>
      </c>
      <c r="B87" s="314">
        <f>管理者入力シート!B5</f>
        <v>2020</v>
      </c>
      <c r="C87" s="315"/>
      <c r="D87" s="2" t="s">
        <v>114</v>
      </c>
      <c r="G87" s="2" t="s">
        <v>18</v>
      </c>
      <c r="H87" s="17">
        <f>ROUND(VLOOKUP(H$67&amp;"_1",管理者用人口入力シート!BH:CE,J87,FALSE),0)</f>
        <v>29</v>
      </c>
      <c r="I87" s="17">
        <f>ROUND(VLOOKUP(H$67&amp;"_2",管理者用人口入力シート!BH:CE,J87,FALSE),0)</f>
        <v>93</v>
      </c>
      <c r="J87" s="2">
        <v>22</v>
      </c>
      <c r="K87" s="12"/>
      <c r="N87" s="2" t="s">
        <v>18</v>
      </c>
      <c r="O87" s="17">
        <f>ROUND(VLOOKUP(O$67&amp;"_1",管理者用人口入力シート!CO:DL,Q87,FALSE),0)</f>
        <v>29</v>
      </c>
      <c r="P87" s="17">
        <f>ROUND(VLOOKUP(O$67&amp;"_2",管理者用人口入力シート!CO:DL,Q87,FALSE),0)</f>
        <v>93</v>
      </c>
      <c r="Q87" s="2">
        <v>22</v>
      </c>
      <c r="U87" s="85"/>
    </row>
    <row r="88" spans="1:21" x14ac:dyDescent="0.15">
      <c r="A88" s="2" t="s">
        <v>115</v>
      </c>
      <c r="B88" s="18" t="s">
        <v>21</v>
      </c>
      <c r="C88" s="18" t="s">
        <v>22</v>
      </c>
      <c r="G88" s="2" t="s">
        <v>19</v>
      </c>
      <c r="H88" s="17">
        <f>ROUND(VLOOKUP(H$67&amp;"_1",管理者用人口入力シート!BH:CE,J88,FALSE),0)</f>
        <v>12</v>
      </c>
      <c r="I88" s="17">
        <f>ROUND(VLOOKUP(H$67&amp;"_2",管理者用人口入力シート!BH:CE,J88,FALSE),0)</f>
        <v>34</v>
      </c>
      <c r="J88" s="2">
        <v>23</v>
      </c>
      <c r="K88" s="12"/>
      <c r="N88" s="2" t="s">
        <v>19</v>
      </c>
      <c r="O88" s="17">
        <f>ROUND(VLOOKUP(O$67&amp;"_1",管理者用人口入力シート!CO:DL,Q88,FALSE),0)</f>
        <v>12</v>
      </c>
      <c r="P88" s="17">
        <f>ROUND(VLOOKUP(O$67&amp;"_2",管理者用人口入力シート!CO:DL,Q88,FALSE),0)</f>
        <v>34</v>
      </c>
      <c r="Q88" s="2">
        <v>23</v>
      </c>
      <c r="U88" s="85"/>
    </row>
    <row r="89" spans="1:21" x14ac:dyDescent="0.15">
      <c r="A89" s="2" t="s">
        <v>0</v>
      </c>
      <c r="B89" s="17">
        <f>ROUND(VLOOKUP(B$87&amp;"_1",管理者用人口入力シート!A:X,D89,FALSE),0)</f>
        <v>101</v>
      </c>
      <c r="C89" s="17">
        <f>ROUND(VLOOKUP(B$87&amp;"_2",管理者用人口入力シート!A:X,D89,FALSE),0)</f>
        <v>73</v>
      </c>
      <c r="D89" s="2">
        <v>4</v>
      </c>
      <c r="G89" s="2" t="s">
        <v>20</v>
      </c>
      <c r="H89" s="17">
        <f>ROUND(VLOOKUP(H$67&amp;"_1",管理者用人口入力シート!BH:CE,J89,FALSE),0)</f>
        <v>2</v>
      </c>
      <c r="I89" s="17">
        <f>ROUND(VLOOKUP(H$67&amp;"_2",管理者用人口入力シート!BH:CE,J89,FALSE),0)</f>
        <v>7</v>
      </c>
      <c r="J89" s="2">
        <v>24</v>
      </c>
      <c r="K89" s="12"/>
      <c r="N89" s="2" t="s">
        <v>20</v>
      </c>
      <c r="O89" s="17">
        <f>ROUND(VLOOKUP(O$67&amp;"_1",管理者用人口入力シート!CO:DL,Q89,FALSE),0)</f>
        <v>2</v>
      </c>
      <c r="P89" s="17">
        <f>ROUND(VLOOKUP(O$67&amp;"_2",管理者用人口入力シート!CO:DL,Q89,FALSE),0)</f>
        <v>7</v>
      </c>
      <c r="Q89" s="2">
        <v>24</v>
      </c>
      <c r="U89" s="85"/>
    </row>
    <row r="90" spans="1:21" x14ac:dyDescent="0.15">
      <c r="A90" s="2" t="s">
        <v>1</v>
      </c>
      <c r="B90" s="17">
        <f>ROUND(VLOOKUP(B$87&amp;"_1",管理者用人口入力シート!A:X,D90,FALSE),0)</f>
        <v>87</v>
      </c>
      <c r="C90" s="17">
        <f>ROUND(VLOOKUP(B$87&amp;"_2",管理者用人口入力シート!A:X,D90,FALSE),0)</f>
        <v>101</v>
      </c>
      <c r="D90" s="2">
        <v>5</v>
      </c>
    </row>
    <row r="91" spans="1:21" x14ac:dyDescent="0.15">
      <c r="A91" s="2" t="s">
        <v>2</v>
      </c>
      <c r="B91" s="17">
        <f>ROUND(VLOOKUP(B$87&amp;"_1",管理者用人口入力シート!A:X,D91,FALSE),0)</f>
        <v>98</v>
      </c>
      <c r="C91" s="17">
        <f>ROUND(VLOOKUP(B$87&amp;"_2",管理者用人口入力シート!A:X,D91,FALSE),0)</f>
        <v>88</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80</v>
      </c>
      <c r="C92" s="17">
        <f>ROUND(VLOOKUP(B$87&amp;"_2",管理者用人口入力シート!A:X,D92,FALSE),0)</f>
        <v>103</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79</v>
      </c>
      <c r="C93" s="17">
        <f>ROUND(VLOOKUP(B$87&amp;"_2",管理者用人口入力シート!A:X,D93,FALSE),0)</f>
        <v>65</v>
      </c>
      <c r="D93" s="2">
        <v>8</v>
      </c>
      <c r="G93" s="2" t="s">
        <v>0</v>
      </c>
      <c r="H93" s="17">
        <f>ROUND(VLOOKUP(H$91&amp;"_1",管理者用人口入力シート!BH:CE,J93,FALSE),0)</f>
        <v>87</v>
      </c>
      <c r="I93" s="17">
        <f>ROUND(VLOOKUP(H$91&amp;"_2",管理者用人口入力シート!BH:CE,J93,FALSE),0)</f>
        <v>63</v>
      </c>
      <c r="J93" s="2">
        <v>4</v>
      </c>
      <c r="K93" s="12"/>
      <c r="N93" s="2" t="s">
        <v>0</v>
      </c>
      <c r="O93" s="17">
        <f>ROUND(VLOOKUP(O$91&amp;"_1",管理者用人口入力シート!CO:DL,Q93,FALSE),0)</f>
        <v>89</v>
      </c>
      <c r="P93" s="17">
        <f>ROUND(VLOOKUP(O$91&amp;"_2",管理者用人口入力シート!CO:DL,Q93,FALSE),0)</f>
        <v>65</v>
      </c>
      <c r="Q93" s="2">
        <v>4</v>
      </c>
      <c r="T93" s="85"/>
    </row>
    <row r="94" spans="1:21" x14ac:dyDescent="0.15">
      <c r="A94" s="2" t="s">
        <v>5</v>
      </c>
      <c r="B94" s="17">
        <f>ROUND(VLOOKUP(B$87&amp;"_1",管理者用人口入力シート!A:X,D94,FALSE),0)</f>
        <v>76</v>
      </c>
      <c r="C94" s="17">
        <f>ROUND(VLOOKUP(B$87&amp;"_2",管理者用人口入力シート!A:X,D94,FALSE),0)</f>
        <v>84</v>
      </c>
      <c r="D94" s="2">
        <v>9</v>
      </c>
      <c r="G94" s="2" t="s">
        <v>1</v>
      </c>
      <c r="H94" s="17">
        <f>ROUND(VLOOKUP(H$91&amp;"_1",管理者用人口入力シート!BH:CE,J94,FALSE),0)</f>
        <v>104</v>
      </c>
      <c r="I94" s="17">
        <f>ROUND(VLOOKUP(H$91&amp;"_2",管理者用人口入力シート!BH:CE,J94,FALSE),0)</f>
        <v>75</v>
      </c>
      <c r="J94" s="2">
        <v>5</v>
      </c>
      <c r="K94" s="12"/>
      <c r="N94" s="2" t="s">
        <v>1</v>
      </c>
      <c r="O94" s="17">
        <f>ROUND(VLOOKUP(O$91&amp;"_1",管理者用人口入力シート!CO:DL,Q94,FALSE),0)</f>
        <v>105</v>
      </c>
      <c r="P94" s="17">
        <f>ROUND(VLOOKUP(O$91&amp;"_2",管理者用人口入力シート!CO:DL,Q94,FALSE),0)</f>
        <v>76</v>
      </c>
      <c r="Q94" s="2">
        <v>5</v>
      </c>
      <c r="T94" s="85"/>
    </row>
    <row r="95" spans="1:21" x14ac:dyDescent="0.15">
      <c r="A95" s="2" t="s">
        <v>6</v>
      </c>
      <c r="B95" s="17">
        <f>ROUND(VLOOKUP(B$87&amp;"_1",管理者用人口入力シート!A:X,D95,FALSE),0)</f>
        <v>97</v>
      </c>
      <c r="C95" s="17">
        <f>ROUND(VLOOKUP(B$87&amp;"_2",管理者用人口入力シート!A:X,D95,FALSE),0)</f>
        <v>82</v>
      </c>
      <c r="D95" s="2">
        <v>10</v>
      </c>
      <c r="G95" s="2" t="s">
        <v>2</v>
      </c>
      <c r="H95" s="17">
        <f>ROUND(VLOOKUP(H$91&amp;"_1",管理者用人口入力シート!BH:CE,J95,FALSE),0)</f>
        <v>117</v>
      </c>
      <c r="I95" s="17">
        <f>ROUND(VLOOKUP(H$91&amp;"_2",管理者用人口入力シート!BH:CE,J95,FALSE),0)</f>
        <v>79</v>
      </c>
      <c r="J95" s="2">
        <v>6</v>
      </c>
      <c r="K95" s="12"/>
      <c r="N95" s="2" t="s">
        <v>2</v>
      </c>
      <c r="O95" s="17">
        <f>ROUND(VLOOKUP(O$91&amp;"_1",管理者用人口入力シート!CO:DL,Q95,FALSE),0)</f>
        <v>118</v>
      </c>
      <c r="P95" s="17">
        <f>ROUND(VLOOKUP(O$91&amp;"_2",管理者用人口入力シート!CO:DL,Q95,FALSE),0)</f>
        <v>80</v>
      </c>
      <c r="Q95" s="2">
        <v>6</v>
      </c>
      <c r="T95" s="85"/>
    </row>
    <row r="96" spans="1:21" x14ac:dyDescent="0.15">
      <c r="A96" s="2" t="s">
        <v>7</v>
      </c>
      <c r="B96" s="17">
        <f>ROUND(VLOOKUP(B$87&amp;"_1",管理者用人口入力シート!A:X,D96,FALSE),0)</f>
        <v>108</v>
      </c>
      <c r="C96" s="17">
        <f>ROUND(VLOOKUP(B$87&amp;"_2",管理者用人口入力シート!A:X,D96,FALSE),0)</f>
        <v>101</v>
      </c>
      <c r="D96" s="2">
        <v>11</v>
      </c>
      <c r="G96" s="2" t="s">
        <v>3</v>
      </c>
      <c r="H96" s="17">
        <f>ROUND(VLOOKUP(H$91&amp;"_1",管理者用人口入力シート!BH:CE,J96,FALSE),0)</f>
        <v>72</v>
      </c>
      <c r="I96" s="17">
        <f>ROUND(VLOOKUP(H$91&amp;"_2",管理者用人口入力シート!BH:CE,J96,FALSE),0)</f>
        <v>87</v>
      </c>
      <c r="J96" s="2">
        <v>7</v>
      </c>
      <c r="K96" s="12"/>
      <c r="N96" s="2" t="s">
        <v>3</v>
      </c>
      <c r="O96" s="17">
        <f>ROUND(VLOOKUP(O$91&amp;"_1",管理者用人口入力シート!CO:DL,Q96,FALSE),0)</f>
        <v>72</v>
      </c>
      <c r="P96" s="17">
        <f>ROUND(VLOOKUP(O$91&amp;"_2",管理者用人口入力シート!CO:DL,Q96,FALSE),0)</f>
        <v>88</v>
      </c>
      <c r="Q96" s="2">
        <v>7</v>
      </c>
      <c r="T96" s="85"/>
    </row>
    <row r="97" spans="1:20" x14ac:dyDescent="0.15">
      <c r="A97" s="2" t="s">
        <v>8</v>
      </c>
      <c r="B97" s="17">
        <f>ROUND(VLOOKUP(B$87&amp;"_1",管理者用人口入力シート!A:X,D97,FALSE),0)</f>
        <v>118</v>
      </c>
      <c r="C97" s="17">
        <f>ROUND(VLOOKUP(B$87&amp;"_2",管理者用人口入力シート!A:X,D97,FALSE),0)</f>
        <v>115</v>
      </c>
      <c r="D97" s="2">
        <v>12</v>
      </c>
      <c r="G97" s="2" t="s">
        <v>4</v>
      </c>
      <c r="H97" s="17">
        <f>ROUND(VLOOKUP(H$91&amp;"_1",管理者用人口入力シート!BH:CE,J97,FALSE),0)</f>
        <v>52</v>
      </c>
      <c r="I97" s="17">
        <f>ROUND(VLOOKUP(H$91&amp;"_2",管理者用人口入力シート!BH:CE,J97,FALSE),0)</f>
        <v>47</v>
      </c>
      <c r="J97" s="2">
        <v>8</v>
      </c>
      <c r="K97" s="12"/>
      <c r="N97" s="2" t="s">
        <v>4</v>
      </c>
      <c r="O97" s="17">
        <f>ROUND(VLOOKUP(O$91&amp;"_1",管理者用人口入力シート!CO:DL,Q97,FALSE),0)</f>
        <v>52</v>
      </c>
      <c r="P97" s="17">
        <f>ROUND(VLOOKUP(O$91&amp;"_2",管理者用人口入力シート!CO:DL,Q97,FALSE),0)</f>
        <v>47</v>
      </c>
      <c r="Q97" s="2">
        <v>8</v>
      </c>
      <c r="T97" s="85"/>
    </row>
    <row r="98" spans="1:20" x14ac:dyDescent="0.15">
      <c r="A98" s="2" t="s">
        <v>9</v>
      </c>
      <c r="B98" s="17">
        <f>ROUND(VLOOKUP(B$87&amp;"_1",管理者用人口入力シート!A:X,D98,FALSE),0)</f>
        <v>133</v>
      </c>
      <c r="C98" s="17">
        <f>ROUND(VLOOKUP(B$87&amp;"_2",管理者用人口入力シート!A:X,D98,FALSE),0)</f>
        <v>141</v>
      </c>
      <c r="D98" s="2">
        <v>13</v>
      </c>
      <c r="G98" s="2" t="s">
        <v>5</v>
      </c>
      <c r="H98" s="17">
        <f>ROUND(VLOOKUP(H$91&amp;"_1",管理者用人口入力シート!BH:CE,J98,FALSE),0)</f>
        <v>54</v>
      </c>
      <c r="I98" s="17">
        <f>ROUND(VLOOKUP(H$91&amp;"_2",管理者用人口入力シート!BH:CE,J98,FALSE),0)</f>
        <v>67</v>
      </c>
      <c r="J98" s="2">
        <v>9</v>
      </c>
      <c r="K98" s="12"/>
      <c r="N98" s="2" t="s">
        <v>5</v>
      </c>
      <c r="O98" s="17">
        <f>ROUND(VLOOKUP(O$91&amp;"_1",管理者用人口入力シート!CO:DL,Q98,FALSE),0)</f>
        <v>56</v>
      </c>
      <c r="P98" s="17">
        <f>ROUND(VLOOKUP(O$91&amp;"_2",管理者用人口入力シート!CO:DL,Q98,FALSE),0)</f>
        <v>69</v>
      </c>
      <c r="Q98" s="2">
        <v>9</v>
      </c>
      <c r="T98" s="85"/>
    </row>
    <row r="99" spans="1:20" x14ac:dyDescent="0.15">
      <c r="A99" s="2" t="s">
        <v>10</v>
      </c>
      <c r="B99" s="17">
        <f>ROUND(VLOOKUP(B$87&amp;"_1",管理者用人口入力シート!A:X,D99,FALSE),0)</f>
        <v>120</v>
      </c>
      <c r="C99" s="17">
        <f>ROUND(VLOOKUP(B$87&amp;"_2",管理者用人口入力シート!A:X,D99,FALSE),0)</f>
        <v>140</v>
      </c>
      <c r="D99" s="2">
        <v>14</v>
      </c>
      <c r="G99" s="2" t="s">
        <v>6</v>
      </c>
      <c r="H99" s="17">
        <f>ROUND(VLOOKUP(H$91&amp;"_1",管理者用人口入力シート!BH:CE,J99,FALSE),0)</f>
        <v>85</v>
      </c>
      <c r="I99" s="17">
        <f>ROUND(VLOOKUP(H$91&amp;"_2",管理者用人口入力シート!BH:CE,J99,FALSE),0)</f>
        <v>73</v>
      </c>
      <c r="J99" s="2">
        <v>10</v>
      </c>
      <c r="K99" s="12"/>
      <c r="N99" s="2" t="s">
        <v>6</v>
      </c>
      <c r="O99" s="17">
        <f>ROUND(VLOOKUP(O$91&amp;"_1",管理者用人口入力シート!CO:DL,Q99,FALSE),0)</f>
        <v>87</v>
      </c>
      <c r="P99" s="17">
        <f>ROUND(VLOOKUP(O$91&amp;"_2",管理者用人口入力シート!CO:DL,Q99,FALSE),0)</f>
        <v>75</v>
      </c>
      <c r="Q99" s="2">
        <v>10</v>
      </c>
      <c r="T99" s="85"/>
    </row>
    <row r="100" spans="1:20" x14ac:dyDescent="0.15">
      <c r="A100" s="2" t="s">
        <v>11</v>
      </c>
      <c r="B100" s="17">
        <f>ROUND(VLOOKUP(B$87&amp;"_1",管理者用人口入力シート!A:X,D100,FALSE),0)</f>
        <v>120</v>
      </c>
      <c r="C100" s="17">
        <f>ROUND(VLOOKUP(B$87&amp;"_2",管理者用人口入力シート!A:X,D100,FALSE),0)</f>
        <v>114</v>
      </c>
      <c r="D100" s="2">
        <v>15</v>
      </c>
      <c r="G100" s="2" t="s">
        <v>7</v>
      </c>
      <c r="H100" s="17">
        <f>ROUND(VLOOKUP(H$91&amp;"_1",管理者用人口入力シート!BH:CE,J100,FALSE),0)</f>
        <v>84</v>
      </c>
      <c r="I100" s="17">
        <f>ROUND(VLOOKUP(H$91&amp;"_2",管理者用人口入力シート!BH:CE,J100,FALSE),0)</f>
        <v>99</v>
      </c>
      <c r="J100" s="2">
        <v>11</v>
      </c>
      <c r="K100" s="12"/>
      <c r="N100" s="2" t="s">
        <v>7</v>
      </c>
      <c r="O100" s="17">
        <f>ROUND(VLOOKUP(O$91&amp;"_1",管理者用人口入力シート!CO:DL,Q100,FALSE),0)</f>
        <v>84</v>
      </c>
      <c r="P100" s="17">
        <f>ROUND(VLOOKUP(O$91&amp;"_2",管理者用人口入力シート!CO:DL,Q100,FALSE),0)</f>
        <v>99</v>
      </c>
      <c r="Q100" s="2">
        <v>11</v>
      </c>
      <c r="T100" s="85"/>
    </row>
    <row r="101" spans="1:20" x14ac:dyDescent="0.15">
      <c r="A101" s="2" t="s">
        <v>12</v>
      </c>
      <c r="B101" s="17">
        <f>ROUND(VLOOKUP(B$87&amp;"_1",管理者用人口入力シート!A:X,D101,FALSE),0)</f>
        <v>155</v>
      </c>
      <c r="C101" s="17">
        <f>ROUND(VLOOKUP(B$87&amp;"_2",管理者用人口入力シート!A:X,D101,FALSE),0)</f>
        <v>153</v>
      </c>
      <c r="D101" s="2">
        <v>16</v>
      </c>
      <c r="G101" s="2" t="s">
        <v>8</v>
      </c>
      <c r="H101" s="17">
        <f>ROUND(VLOOKUP(H$91&amp;"_1",管理者用人口入力シート!BH:CE,J101,FALSE),0)</f>
        <v>102</v>
      </c>
      <c r="I101" s="17">
        <f>ROUND(VLOOKUP(H$91&amp;"_2",管理者用人口入力シート!BH:CE,J101,FALSE),0)</f>
        <v>88</v>
      </c>
      <c r="J101" s="2">
        <v>12</v>
      </c>
      <c r="K101" s="12"/>
      <c r="N101" s="2" t="s">
        <v>8</v>
      </c>
      <c r="O101" s="17">
        <f>ROUND(VLOOKUP(O$91&amp;"_1",管理者用人口入力シート!CO:DL,Q101,FALSE),0)</f>
        <v>102</v>
      </c>
      <c r="P101" s="17">
        <f>ROUND(VLOOKUP(O$91&amp;"_2",管理者用人口入力シート!CO:DL,Q101,FALSE),0)</f>
        <v>89</v>
      </c>
      <c r="Q101" s="2">
        <v>12</v>
      </c>
      <c r="T101" s="85"/>
    </row>
    <row r="102" spans="1:20" x14ac:dyDescent="0.15">
      <c r="A102" s="2" t="s">
        <v>13</v>
      </c>
      <c r="B102" s="17">
        <f>ROUND(VLOOKUP(B$87&amp;"_1",管理者用人口入力シート!A:X,D102,FALSE),0)</f>
        <v>181</v>
      </c>
      <c r="C102" s="17">
        <f>ROUND(VLOOKUP(B$87&amp;"_2",管理者用人口入力シート!A:X,D102,FALSE),0)</f>
        <v>208</v>
      </c>
      <c r="D102" s="2">
        <v>17</v>
      </c>
      <c r="G102" s="2" t="s">
        <v>9</v>
      </c>
      <c r="H102" s="17">
        <f>ROUND(VLOOKUP(H$91&amp;"_1",管理者用人口入力シート!BH:CE,J102,FALSE),0)</f>
        <v>119</v>
      </c>
      <c r="I102" s="17">
        <f>ROUND(VLOOKUP(H$91&amp;"_2",管理者用人口入力シート!BH:CE,J102,FALSE),0)</f>
        <v>108</v>
      </c>
      <c r="J102" s="2">
        <v>13</v>
      </c>
      <c r="K102" s="12"/>
      <c r="N102" s="2" t="s">
        <v>9</v>
      </c>
      <c r="O102" s="17">
        <f>ROUND(VLOOKUP(O$91&amp;"_1",管理者用人口入力シート!CO:DL,Q102,FALSE),0)</f>
        <v>119</v>
      </c>
      <c r="P102" s="17">
        <f>ROUND(VLOOKUP(O$91&amp;"_2",管理者用人口入力シート!CO:DL,Q102,FALSE),0)</f>
        <v>110</v>
      </c>
      <c r="Q102" s="2">
        <v>13</v>
      </c>
      <c r="T102" s="85"/>
    </row>
    <row r="103" spans="1:20" x14ac:dyDescent="0.15">
      <c r="A103" s="2" t="s">
        <v>14</v>
      </c>
      <c r="B103" s="17">
        <f>ROUND(VLOOKUP(B$87&amp;"_1",管理者用人口入力シート!A:X,D103,FALSE),0)</f>
        <v>177</v>
      </c>
      <c r="C103" s="17">
        <f>ROUND(VLOOKUP(B$87&amp;"_2",管理者用人口入力シート!A:X,D103,FALSE),0)</f>
        <v>238</v>
      </c>
      <c r="D103" s="2">
        <v>18</v>
      </c>
      <c r="G103" s="2" t="s">
        <v>10</v>
      </c>
      <c r="H103" s="17">
        <f>ROUND(VLOOKUP(H$91&amp;"_1",管理者用人口入力シート!BH:CE,J103,FALSE),0)</f>
        <v>128</v>
      </c>
      <c r="I103" s="17">
        <f>ROUND(VLOOKUP(H$91&amp;"_2",管理者用人口入力シート!BH:CE,J103,FALSE),0)</f>
        <v>129</v>
      </c>
      <c r="J103" s="2">
        <v>14</v>
      </c>
      <c r="K103" s="12"/>
      <c r="N103" s="2" t="s">
        <v>10</v>
      </c>
      <c r="O103" s="17">
        <f>ROUND(VLOOKUP(O$91&amp;"_1",管理者用人口入力シート!CO:DL,Q103,FALSE),0)</f>
        <v>128</v>
      </c>
      <c r="P103" s="17">
        <f>ROUND(VLOOKUP(O$91&amp;"_2",管理者用人口入力シート!CO:DL,Q103,FALSE),0)</f>
        <v>129</v>
      </c>
      <c r="Q103" s="2">
        <v>14</v>
      </c>
      <c r="T103" s="85"/>
    </row>
    <row r="104" spans="1:20" x14ac:dyDescent="0.15">
      <c r="A104" s="2" t="s">
        <v>15</v>
      </c>
      <c r="B104" s="17">
        <f>ROUND(VLOOKUP(B$87&amp;"_1",管理者用人口入力シート!A:X,D104,FALSE),0)</f>
        <v>149</v>
      </c>
      <c r="C104" s="17">
        <f>ROUND(VLOOKUP(B$87&amp;"_2",管理者用人口入力シート!A:X,D104,FALSE),0)</f>
        <v>163</v>
      </c>
      <c r="D104" s="2">
        <v>19</v>
      </c>
      <c r="G104" s="2" t="s">
        <v>11</v>
      </c>
      <c r="H104" s="17">
        <f>ROUND(VLOOKUP(H$91&amp;"_1",管理者用人口入力シート!BH:CE,J104,FALSE),0)</f>
        <v>129</v>
      </c>
      <c r="I104" s="17">
        <f>ROUND(VLOOKUP(H$91&amp;"_2",管理者用人口入力シート!BH:CE,J104,FALSE),0)</f>
        <v>138</v>
      </c>
      <c r="J104" s="2">
        <v>15</v>
      </c>
      <c r="K104" s="12"/>
      <c r="N104" s="2" t="s">
        <v>11</v>
      </c>
      <c r="O104" s="17">
        <f>ROUND(VLOOKUP(O$91&amp;"_1",管理者用人口入力シート!CO:DL,Q104,FALSE),0)</f>
        <v>129</v>
      </c>
      <c r="P104" s="17">
        <f>ROUND(VLOOKUP(O$91&amp;"_2",管理者用人口入力シート!CO:DL,Q104,FALSE),0)</f>
        <v>138</v>
      </c>
      <c r="Q104" s="2">
        <v>15</v>
      </c>
      <c r="T104" s="85"/>
    </row>
    <row r="105" spans="1:20" x14ac:dyDescent="0.15">
      <c r="A105" s="2" t="s">
        <v>16</v>
      </c>
      <c r="B105" s="17">
        <f>ROUND(VLOOKUP(B$87&amp;"_1",管理者用人口入力シート!A:X,D105,FALSE),0)</f>
        <v>112</v>
      </c>
      <c r="C105" s="17">
        <f>ROUND(VLOOKUP(B$87&amp;"_2",管理者用人口入力シート!A:X,D105,FALSE),0)</f>
        <v>152</v>
      </c>
      <c r="D105" s="2">
        <v>20</v>
      </c>
      <c r="G105" s="2" t="s">
        <v>12</v>
      </c>
      <c r="H105" s="17">
        <f>ROUND(VLOOKUP(H$91&amp;"_1",管理者用人口入力シート!BH:CE,J105,FALSE),0)</f>
        <v>110</v>
      </c>
      <c r="I105" s="17">
        <f>ROUND(VLOOKUP(H$91&amp;"_2",管理者用人口入力シート!BH:CE,J105,FALSE),0)</f>
        <v>137</v>
      </c>
      <c r="J105" s="2">
        <v>16</v>
      </c>
      <c r="K105" s="12"/>
      <c r="N105" s="2" t="s">
        <v>12</v>
      </c>
      <c r="O105" s="17">
        <f>ROUND(VLOOKUP(O$91&amp;"_1",管理者用人口入力シート!CO:DL,Q105,FALSE),0)</f>
        <v>110</v>
      </c>
      <c r="P105" s="17">
        <f>ROUND(VLOOKUP(O$91&amp;"_2",管理者用人口入力シート!CO:DL,Q105,FALSE),0)</f>
        <v>137</v>
      </c>
      <c r="Q105" s="2">
        <v>16</v>
      </c>
      <c r="T105" s="85"/>
    </row>
    <row r="106" spans="1:20" x14ac:dyDescent="0.15">
      <c r="A106" s="2" t="s">
        <v>17</v>
      </c>
      <c r="B106" s="17">
        <f>ROUND(VLOOKUP(B$87&amp;"_1",管理者用人口入力シート!A:X,D106,FALSE),0)</f>
        <v>71</v>
      </c>
      <c r="C106" s="17">
        <f>ROUND(VLOOKUP(B$87&amp;"_2",管理者用人口入力シート!A:X,D106,FALSE),0)</f>
        <v>157</v>
      </c>
      <c r="D106" s="2">
        <v>21</v>
      </c>
      <c r="G106" s="2" t="s">
        <v>13</v>
      </c>
      <c r="H106" s="17">
        <f>ROUND(VLOOKUP(H$91&amp;"_1",管理者用人口入力シート!BH:CE,J106,FALSE),0)</f>
        <v>115</v>
      </c>
      <c r="I106" s="17">
        <f>ROUND(VLOOKUP(H$91&amp;"_2",管理者用人口入力シート!BH:CE,J106,FALSE),0)</f>
        <v>116</v>
      </c>
      <c r="J106" s="2">
        <v>17</v>
      </c>
      <c r="K106" s="12"/>
      <c r="N106" s="2" t="s">
        <v>13</v>
      </c>
      <c r="O106" s="17">
        <f>ROUND(VLOOKUP(O$91&amp;"_1",管理者用人口入力シート!CO:DL,Q106,FALSE),0)</f>
        <v>115</v>
      </c>
      <c r="P106" s="17">
        <f>ROUND(VLOOKUP(O$91&amp;"_2",管理者用人口入力シート!CO:DL,Q106,FALSE),0)</f>
        <v>116</v>
      </c>
      <c r="Q106" s="2">
        <v>17</v>
      </c>
      <c r="T106" s="85"/>
    </row>
    <row r="107" spans="1:20" x14ac:dyDescent="0.15">
      <c r="A107" s="2" t="s">
        <v>18</v>
      </c>
      <c r="B107" s="17">
        <f>ROUND(VLOOKUP(B$87&amp;"_1",管理者用人口入力シート!A:X,D107,FALSE),0)</f>
        <v>29</v>
      </c>
      <c r="C107" s="17">
        <f>ROUND(VLOOKUP(B$87&amp;"_2",管理者用人口入力シート!A:X,D107,FALSE),0)</f>
        <v>76</v>
      </c>
      <c r="D107" s="2">
        <v>22</v>
      </c>
      <c r="G107" s="2" t="s">
        <v>14</v>
      </c>
      <c r="H107" s="17">
        <f>ROUND(VLOOKUP(H$91&amp;"_1",管理者用人口入力シート!BH:CE,J107,FALSE),0)</f>
        <v>141</v>
      </c>
      <c r="I107" s="17">
        <f>ROUND(VLOOKUP(H$91&amp;"_2",管理者用人口入力シート!BH:CE,J107,FALSE),0)</f>
        <v>148</v>
      </c>
      <c r="J107" s="2">
        <v>18</v>
      </c>
      <c r="K107" s="12"/>
      <c r="N107" s="2" t="s">
        <v>14</v>
      </c>
      <c r="O107" s="17">
        <f>ROUND(VLOOKUP(O$91&amp;"_1",管理者用人口入力シート!CO:DL,Q107,FALSE),0)</f>
        <v>141</v>
      </c>
      <c r="P107" s="17">
        <f>ROUND(VLOOKUP(O$91&amp;"_2",管理者用人口入力シート!CO:DL,Q107,FALSE),0)</f>
        <v>148</v>
      </c>
      <c r="Q107" s="2">
        <v>18</v>
      </c>
      <c r="T107" s="85"/>
    </row>
    <row r="108" spans="1:20" x14ac:dyDescent="0.15">
      <c r="A108" s="2" t="s">
        <v>19</v>
      </c>
      <c r="B108" s="17">
        <f>ROUND(VLOOKUP(B$87&amp;"_1",管理者用人口入力シート!A:X,D108,FALSE),0)</f>
        <v>7</v>
      </c>
      <c r="C108" s="17">
        <f>ROUND(VLOOKUP(B$87&amp;"_2",管理者用人口入力シート!A:X,D108,FALSE),0)</f>
        <v>35</v>
      </c>
      <c r="D108" s="2">
        <v>23</v>
      </c>
      <c r="G108" s="2" t="s">
        <v>15</v>
      </c>
      <c r="H108" s="17">
        <f>ROUND(VLOOKUP(H$91&amp;"_1",管理者用人口入力シート!BH:CE,J108,FALSE),0)</f>
        <v>144</v>
      </c>
      <c r="I108" s="17">
        <f>ROUND(VLOOKUP(H$91&amp;"_2",管理者用人口入力シート!BH:CE,J108,FALSE),0)</f>
        <v>190</v>
      </c>
      <c r="J108" s="2">
        <v>19</v>
      </c>
      <c r="K108" s="12"/>
      <c r="N108" s="2" t="s">
        <v>15</v>
      </c>
      <c r="O108" s="17">
        <f>ROUND(VLOOKUP(O$91&amp;"_1",管理者用人口入力シート!CO:DL,Q108,FALSE),0)</f>
        <v>144</v>
      </c>
      <c r="P108" s="17">
        <f>ROUND(VLOOKUP(O$91&amp;"_2",管理者用人口入力シート!CO:DL,Q108,FALSE),0)</f>
        <v>190</v>
      </c>
      <c r="Q108" s="2">
        <v>19</v>
      </c>
      <c r="T108" s="85"/>
    </row>
    <row r="109" spans="1:20" x14ac:dyDescent="0.15">
      <c r="A109" s="2" t="s">
        <v>20</v>
      </c>
      <c r="B109" s="17">
        <f>ROUND(VLOOKUP(B$87&amp;"_1",管理者用人口入力シート!A:X,D109,FALSE),0)</f>
        <v>2</v>
      </c>
      <c r="C109" s="17">
        <f>ROUND(VLOOKUP(B$87&amp;"_2",管理者用人口入力シート!A:X,D109,FALSE),0)</f>
        <v>3</v>
      </c>
      <c r="D109" s="2">
        <v>24</v>
      </c>
      <c r="G109" s="2" t="s">
        <v>16</v>
      </c>
      <c r="H109" s="17">
        <f>ROUND(VLOOKUP(H$91&amp;"_1",管理者用人口入力シート!BH:CE,J109,FALSE),0)</f>
        <v>129</v>
      </c>
      <c r="I109" s="17">
        <f>ROUND(VLOOKUP(H$91&amp;"_2",管理者用人口入力シート!BH:CE,J109,FALSE),0)</f>
        <v>199</v>
      </c>
      <c r="J109" s="2">
        <v>20</v>
      </c>
      <c r="K109" s="12"/>
      <c r="N109" s="2" t="s">
        <v>16</v>
      </c>
      <c r="O109" s="17">
        <f>ROUND(VLOOKUP(O$91&amp;"_1",管理者用人口入力シート!CO:DL,Q109,FALSE),0)</f>
        <v>129</v>
      </c>
      <c r="P109" s="17">
        <f>ROUND(VLOOKUP(O$91&amp;"_2",管理者用人口入力シート!CO:DL,Q109,FALSE),0)</f>
        <v>199</v>
      </c>
      <c r="Q109" s="2">
        <v>20</v>
      </c>
      <c r="T109" s="85"/>
    </row>
    <row r="110" spans="1:20" x14ac:dyDescent="0.15">
      <c r="G110" s="2" t="s">
        <v>17</v>
      </c>
      <c r="H110" s="17">
        <f>ROUND(VLOOKUP(H$91&amp;"_1",管理者用人口入力シート!BH:CE,J110,FALSE),0)</f>
        <v>75</v>
      </c>
      <c r="I110" s="17">
        <f>ROUND(VLOOKUP(H$91&amp;"_2",管理者用人口入力シート!BH:CE,J110,FALSE),0)</f>
        <v>118</v>
      </c>
      <c r="J110" s="2">
        <v>21</v>
      </c>
      <c r="K110" s="12"/>
      <c r="N110" s="2" t="s">
        <v>17</v>
      </c>
      <c r="O110" s="17">
        <f>ROUND(VLOOKUP(O$91&amp;"_1",管理者用人口入力シート!CO:DL,Q110,FALSE),0)</f>
        <v>75</v>
      </c>
      <c r="P110" s="17">
        <f>ROUND(VLOOKUP(O$91&amp;"_2",管理者用人口入力シート!CO:DL,Q110,FALSE),0)</f>
        <v>118</v>
      </c>
      <c r="Q110" s="2">
        <v>21</v>
      </c>
      <c r="T110" s="85"/>
    </row>
    <row r="111" spans="1:20" x14ac:dyDescent="0.15">
      <c r="G111" s="2" t="s">
        <v>18</v>
      </c>
      <c r="H111" s="17">
        <f>ROUND(VLOOKUP(H$91&amp;"_1",管理者用人口入力シート!BH:CE,J111,FALSE),0)</f>
        <v>28</v>
      </c>
      <c r="I111" s="17">
        <f>ROUND(VLOOKUP(H$91&amp;"_2",管理者用人口入力シート!BH:CE,J111,FALSE),0)</f>
        <v>74</v>
      </c>
      <c r="J111" s="2">
        <v>22</v>
      </c>
      <c r="K111" s="12"/>
      <c r="N111" s="2" t="s">
        <v>18</v>
      </c>
      <c r="O111" s="17">
        <f>ROUND(VLOOKUP(O$91&amp;"_1",管理者用人口入力シート!CO:DL,Q111,FALSE),0)</f>
        <v>28</v>
      </c>
      <c r="P111" s="17">
        <f>ROUND(VLOOKUP(O$91&amp;"_2",管理者用人口入力シート!CO:DL,Q111,FALSE),0)</f>
        <v>74</v>
      </c>
      <c r="Q111" s="2">
        <v>22</v>
      </c>
      <c r="T111" s="85"/>
    </row>
    <row r="112" spans="1:20" x14ac:dyDescent="0.15">
      <c r="G112" s="2" t="s">
        <v>19</v>
      </c>
      <c r="H112" s="17">
        <f>ROUND(VLOOKUP(H$91&amp;"_1",管理者用人口入力シート!BH:CE,J112,FALSE),0)</f>
        <v>12</v>
      </c>
      <c r="I112" s="17">
        <f>ROUND(VLOOKUP(H$91&amp;"_2",管理者用人口入力シート!BH:CE,J112,FALSE),0)</f>
        <v>42</v>
      </c>
      <c r="J112" s="2">
        <v>23</v>
      </c>
      <c r="K112" s="12"/>
      <c r="N112" s="2" t="s">
        <v>19</v>
      </c>
      <c r="O112" s="17">
        <f>ROUND(VLOOKUP(O$91&amp;"_1",管理者用人口入力シート!CO:DL,Q112,FALSE),0)</f>
        <v>12</v>
      </c>
      <c r="P112" s="17">
        <f>ROUND(VLOOKUP(O$91&amp;"_2",管理者用人口入力シート!CO:DL,Q112,FALSE),0)</f>
        <v>42</v>
      </c>
      <c r="Q112" s="2">
        <v>23</v>
      </c>
      <c r="T112" s="85"/>
    </row>
    <row r="113" spans="7:20" x14ac:dyDescent="0.15">
      <c r="G113" s="2" t="s">
        <v>20</v>
      </c>
      <c r="H113" s="17">
        <f>ROUND(VLOOKUP(H$91&amp;"_1",管理者用人口入力シート!BH:CE,J113,FALSE),0)</f>
        <v>3</v>
      </c>
      <c r="I113" s="17">
        <f>ROUND(VLOOKUP(H$91&amp;"_2",管理者用人口入力シート!BH:CE,J113,FALSE),0)</f>
        <v>7</v>
      </c>
      <c r="J113" s="2">
        <v>24</v>
      </c>
      <c r="K113" s="12"/>
      <c r="N113" s="2" t="s">
        <v>20</v>
      </c>
      <c r="O113" s="17">
        <f>ROUND(VLOOKUP(O$91&amp;"_1",管理者用人口入力シート!CO:DL,Q113,FALSE),0)</f>
        <v>3</v>
      </c>
      <c r="P113" s="17">
        <f>ROUND(VLOOKUP(O$91&amp;"_2",管理者用人口入力シート!CO:DL,Q113,FALSE),0)</f>
        <v>7</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78</v>
      </c>
      <c r="I117" s="17">
        <f>ROUND(VLOOKUP(H$115&amp;"_2",管理者用人口入力シート!BH:CE,J117,FALSE),0)</f>
        <v>56</v>
      </c>
      <c r="J117" s="2">
        <v>4</v>
      </c>
      <c r="N117" s="2" t="s">
        <v>0</v>
      </c>
      <c r="O117" s="17">
        <f>ROUND(VLOOKUP(O$115&amp;"_1",管理者用人口入力シート!CO:DL,Q117,FALSE),0)</f>
        <v>81</v>
      </c>
      <c r="P117" s="17">
        <f>ROUND(VLOOKUP(O$115&amp;"_2",管理者用人口入力シート!CO:DL,Q117,FALSE),0)</f>
        <v>59</v>
      </c>
      <c r="Q117" s="2">
        <v>4</v>
      </c>
      <c r="T117" s="85"/>
    </row>
    <row r="118" spans="7:20" x14ac:dyDescent="0.15">
      <c r="G118" s="2" t="s">
        <v>1</v>
      </c>
      <c r="H118" s="17">
        <f>ROUND(VLOOKUP(H$115&amp;"_1",管理者用人口入力シート!BH:CE,J118,FALSE),0)</f>
        <v>95</v>
      </c>
      <c r="I118" s="17">
        <f>ROUND(VLOOKUP(H$115&amp;"_2",管理者用人口入力シート!BH:CE,J118,FALSE),0)</f>
        <v>68</v>
      </c>
      <c r="J118" s="2">
        <v>5</v>
      </c>
      <c r="N118" s="2" t="s">
        <v>1</v>
      </c>
      <c r="O118" s="17">
        <f>ROUND(VLOOKUP(O$115&amp;"_1",管理者用人口入力シート!CO:DL,Q118,FALSE),0)</f>
        <v>98</v>
      </c>
      <c r="P118" s="17">
        <f>ROUND(VLOOKUP(O$115&amp;"_2",管理者用人口入力シート!CO:DL,Q118,FALSE),0)</f>
        <v>70</v>
      </c>
      <c r="Q118" s="2">
        <v>5</v>
      </c>
      <c r="T118" s="85"/>
    </row>
    <row r="119" spans="7:20" x14ac:dyDescent="0.15">
      <c r="G119" s="2" t="s">
        <v>2</v>
      </c>
      <c r="H119" s="17">
        <f>ROUND(VLOOKUP(H$115&amp;"_1",管理者用人口入力シート!BH:CE,J119,FALSE),0)</f>
        <v>109</v>
      </c>
      <c r="I119" s="17">
        <f>ROUND(VLOOKUP(H$115&amp;"_2",管理者用人口入力シート!BH:CE,J119,FALSE),0)</f>
        <v>74</v>
      </c>
      <c r="J119" s="2">
        <v>6</v>
      </c>
      <c r="N119" s="2" t="s">
        <v>2</v>
      </c>
      <c r="O119" s="17">
        <f>ROUND(VLOOKUP(O$115&amp;"_1",管理者用人口入力シート!CO:DL,Q119,FALSE),0)</f>
        <v>112</v>
      </c>
      <c r="P119" s="17">
        <f>ROUND(VLOOKUP(O$115&amp;"_2",管理者用人口入力シート!CO:DL,Q119,FALSE),0)</f>
        <v>76</v>
      </c>
      <c r="Q119" s="2">
        <v>6</v>
      </c>
      <c r="T119" s="85"/>
    </row>
    <row r="120" spans="7:20" x14ac:dyDescent="0.15">
      <c r="G120" s="2" t="s">
        <v>3</v>
      </c>
      <c r="H120" s="17">
        <f>ROUND(VLOOKUP(H$115&amp;"_1",管理者用人口入力シート!BH:CE,J120,FALSE),0)</f>
        <v>91</v>
      </c>
      <c r="I120" s="17">
        <f>ROUND(VLOOKUP(H$115&amp;"_2",管理者用人口入力シート!BH:CE,J120,FALSE),0)</f>
        <v>69</v>
      </c>
      <c r="J120" s="2">
        <v>7</v>
      </c>
      <c r="N120" s="2" t="s">
        <v>3</v>
      </c>
      <c r="O120" s="17">
        <f>ROUND(VLOOKUP(O$115&amp;"_1",管理者用人口入力シート!CO:DL,Q120,FALSE),0)</f>
        <v>92</v>
      </c>
      <c r="P120" s="17">
        <f>ROUND(VLOOKUP(O$115&amp;"_2",管理者用人口入力シート!CO:DL,Q120,FALSE),0)</f>
        <v>70</v>
      </c>
      <c r="Q120" s="2">
        <v>7</v>
      </c>
      <c r="T120" s="85"/>
    </row>
    <row r="121" spans="7:20" x14ac:dyDescent="0.15">
      <c r="G121" s="2" t="s">
        <v>4</v>
      </c>
      <c r="H121" s="17">
        <f>ROUND(VLOOKUP(H$115&amp;"_1",管理者用人口入力シート!BH:CE,J121,FALSE),0)</f>
        <v>48</v>
      </c>
      <c r="I121" s="17">
        <f>ROUND(VLOOKUP(H$115&amp;"_2",管理者用人口入力シート!BH:CE,J121,FALSE),0)</f>
        <v>54</v>
      </c>
      <c r="J121" s="2">
        <v>8</v>
      </c>
      <c r="N121" s="2" t="s">
        <v>4</v>
      </c>
      <c r="O121" s="17">
        <f>ROUND(VLOOKUP(O$115&amp;"_1",管理者用人口入力シート!CO:DL,Q121,FALSE),0)</f>
        <v>49</v>
      </c>
      <c r="P121" s="17">
        <f>ROUND(VLOOKUP(O$115&amp;"_2",管理者用人口入力シート!CO:DL,Q121,FALSE),0)</f>
        <v>54</v>
      </c>
      <c r="Q121" s="2">
        <v>8</v>
      </c>
      <c r="T121" s="85"/>
    </row>
    <row r="122" spans="7:20" x14ac:dyDescent="0.15">
      <c r="G122" s="2" t="s">
        <v>5</v>
      </c>
      <c r="H122" s="17">
        <f>ROUND(VLOOKUP(H$115&amp;"_1",管理者用人口入力シート!BH:CE,J122,FALSE),0)</f>
        <v>51</v>
      </c>
      <c r="I122" s="17">
        <f>ROUND(VLOOKUP(H$115&amp;"_2",管理者用人口入力シート!BH:CE,J122,FALSE),0)</f>
        <v>50</v>
      </c>
      <c r="J122" s="2">
        <v>9</v>
      </c>
      <c r="N122" s="2" t="s">
        <v>5</v>
      </c>
      <c r="O122" s="17">
        <f>ROUND(VLOOKUP(O$115&amp;"_1",管理者用人口入力シート!CO:DL,Q122,FALSE),0)</f>
        <v>53</v>
      </c>
      <c r="P122" s="17">
        <f>ROUND(VLOOKUP(O$115&amp;"_2",管理者用人口入力シート!CO:DL,Q122,FALSE),0)</f>
        <v>52</v>
      </c>
      <c r="Q122" s="2">
        <v>9</v>
      </c>
      <c r="T122" s="85"/>
    </row>
    <row r="123" spans="7:20" x14ac:dyDescent="0.15">
      <c r="G123" s="2" t="s">
        <v>6</v>
      </c>
      <c r="H123" s="17">
        <f>ROUND(VLOOKUP(H$115&amp;"_1",管理者用人口入力シート!BH:CE,J123,FALSE),0)</f>
        <v>58</v>
      </c>
      <c r="I123" s="17">
        <f>ROUND(VLOOKUP(H$115&amp;"_2",管理者用人口入力シート!BH:CE,J123,FALSE),0)</f>
        <v>71</v>
      </c>
      <c r="J123" s="2">
        <v>10</v>
      </c>
      <c r="N123" s="2" t="s">
        <v>6</v>
      </c>
      <c r="O123" s="17">
        <f>ROUND(VLOOKUP(O$115&amp;"_1",管理者用人口入力シート!CO:DL,Q123,FALSE),0)</f>
        <v>60</v>
      </c>
      <c r="P123" s="17">
        <f>ROUND(VLOOKUP(O$115&amp;"_2",管理者用人口入力シート!CO:DL,Q123,FALSE),0)</f>
        <v>73</v>
      </c>
      <c r="Q123" s="2">
        <v>10</v>
      </c>
      <c r="T123" s="85"/>
    </row>
    <row r="124" spans="7:20" x14ac:dyDescent="0.15">
      <c r="G124" s="2" t="s">
        <v>7</v>
      </c>
      <c r="H124" s="17">
        <f>ROUND(VLOOKUP(H$115&amp;"_1",管理者用人口入力シート!BH:CE,J124,FALSE),0)</f>
        <v>87</v>
      </c>
      <c r="I124" s="17">
        <f>ROUND(VLOOKUP(H$115&amp;"_2",管理者用人口入力シート!BH:CE,J124,FALSE),0)</f>
        <v>80</v>
      </c>
      <c r="J124" s="2">
        <v>11</v>
      </c>
      <c r="N124" s="2" t="s">
        <v>7</v>
      </c>
      <c r="O124" s="17">
        <f>ROUND(VLOOKUP(O$115&amp;"_1",管理者用人口入力シート!CO:DL,Q124,FALSE),0)</f>
        <v>89</v>
      </c>
      <c r="P124" s="17">
        <f>ROUND(VLOOKUP(O$115&amp;"_2",管理者用人口入力シート!CO:DL,Q124,FALSE),0)</f>
        <v>83</v>
      </c>
      <c r="Q124" s="2">
        <v>11</v>
      </c>
      <c r="T124" s="85"/>
    </row>
    <row r="125" spans="7:20" x14ac:dyDescent="0.15">
      <c r="G125" s="2" t="s">
        <v>8</v>
      </c>
      <c r="H125" s="17">
        <f>ROUND(VLOOKUP(H$115&amp;"_1",管理者用人口入力シート!BH:CE,J125,FALSE),0)</f>
        <v>87</v>
      </c>
      <c r="I125" s="17">
        <f>ROUND(VLOOKUP(H$115&amp;"_2",管理者用人口入力シート!BH:CE,J125,FALSE),0)</f>
        <v>96</v>
      </c>
      <c r="J125" s="2">
        <v>12</v>
      </c>
      <c r="N125" s="2" t="s">
        <v>8</v>
      </c>
      <c r="O125" s="17">
        <f>ROUND(VLOOKUP(O$115&amp;"_1",管理者用人口入力シート!CO:DL,Q125,FALSE),0)</f>
        <v>87</v>
      </c>
      <c r="P125" s="17">
        <f>ROUND(VLOOKUP(O$115&amp;"_2",管理者用人口入力シート!CO:DL,Q125,FALSE),0)</f>
        <v>97</v>
      </c>
      <c r="Q125" s="2">
        <v>12</v>
      </c>
      <c r="T125" s="85"/>
    </row>
    <row r="126" spans="7:20" x14ac:dyDescent="0.15">
      <c r="G126" s="2" t="s">
        <v>9</v>
      </c>
      <c r="H126" s="17">
        <f>ROUND(VLOOKUP(H$115&amp;"_1",管理者用人口入力シート!BH:CE,J126,FALSE),0)</f>
        <v>109</v>
      </c>
      <c r="I126" s="17">
        <f>ROUND(VLOOKUP(H$115&amp;"_2",管理者用人口入力シート!BH:CE,J126,FALSE),0)</f>
        <v>97</v>
      </c>
      <c r="J126" s="2">
        <v>13</v>
      </c>
      <c r="N126" s="2" t="s">
        <v>9</v>
      </c>
      <c r="O126" s="17">
        <f>ROUND(VLOOKUP(O$115&amp;"_1",管理者用人口入力シート!CO:DL,Q126,FALSE),0)</f>
        <v>109</v>
      </c>
      <c r="P126" s="17">
        <f>ROUND(VLOOKUP(O$115&amp;"_2",管理者用人口入力シート!CO:DL,Q126,FALSE),0)</f>
        <v>99</v>
      </c>
      <c r="Q126" s="2">
        <v>13</v>
      </c>
      <c r="T126" s="85"/>
    </row>
    <row r="127" spans="7:20" x14ac:dyDescent="0.15">
      <c r="G127" s="2" t="s">
        <v>10</v>
      </c>
      <c r="H127" s="17">
        <f>ROUND(VLOOKUP(H$115&amp;"_1",管理者用人口入力シート!BH:CE,J127,FALSE),0)</f>
        <v>120</v>
      </c>
      <c r="I127" s="17">
        <f>ROUND(VLOOKUP(H$115&amp;"_2",管理者用人口入力シート!BH:CE,J127,FALSE),0)</f>
        <v>110</v>
      </c>
      <c r="J127" s="2">
        <v>14</v>
      </c>
      <c r="N127" s="2" t="s">
        <v>10</v>
      </c>
      <c r="O127" s="17">
        <f>ROUND(VLOOKUP(O$115&amp;"_1",管理者用人口入力シート!CO:DL,Q127,FALSE),0)</f>
        <v>120</v>
      </c>
      <c r="P127" s="17">
        <f>ROUND(VLOOKUP(O$115&amp;"_2",管理者用人口入力シート!CO:DL,Q127,FALSE),0)</f>
        <v>111</v>
      </c>
      <c r="Q127" s="2">
        <v>14</v>
      </c>
      <c r="T127" s="85"/>
    </row>
    <row r="128" spans="7:20" x14ac:dyDescent="0.15">
      <c r="G128" s="2" t="s">
        <v>11</v>
      </c>
      <c r="H128" s="17">
        <f>ROUND(VLOOKUP(H$115&amp;"_1",管理者用人口入力シート!BH:CE,J128,FALSE),0)</f>
        <v>122</v>
      </c>
      <c r="I128" s="17">
        <f>ROUND(VLOOKUP(H$115&amp;"_2",管理者用人口入力シート!BH:CE,J128,FALSE),0)</f>
        <v>124</v>
      </c>
      <c r="J128" s="2">
        <v>15</v>
      </c>
      <c r="N128" s="2" t="s">
        <v>11</v>
      </c>
      <c r="O128" s="17">
        <f>ROUND(VLOOKUP(O$115&amp;"_1",管理者用人口入力シート!CO:DL,Q128,FALSE),0)</f>
        <v>122</v>
      </c>
      <c r="P128" s="17">
        <f>ROUND(VLOOKUP(O$115&amp;"_2",管理者用人口入力シート!CO:DL,Q128,FALSE),0)</f>
        <v>124</v>
      </c>
      <c r="Q128" s="2">
        <v>15</v>
      </c>
      <c r="T128" s="85"/>
    </row>
    <row r="129" spans="7:20" x14ac:dyDescent="0.15">
      <c r="G129" s="2" t="s">
        <v>12</v>
      </c>
      <c r="H129" s="17">
        <f>ROUND(VLOOKUP(H$115&amp;"_1",管理者用人口入力シート!BH:CE,J129,FALSE),0)</f>
        <v>123</v>
      </c>
      <c r="I129" s="17">
        <f>ROUND(VLOOKUP(H$115&amp;"_2",管理者用人口入力シート!BH:CE,J129,FALSE),0)</f>
        <v>140</v>
      </c>
      <c r="J129" s="2">
        <v>16</v>
      </c>
      <c r="N129" s="2" t="s">
        <v>12</v>
      </c>
      <c r="O129" s="17">
        <f>ROUND(VLOOKUP(O$115&amp;"_1",管理者用人口入力シート!CO:DL,Q129,FALSE),0)</f>
        <v>123</v>
      </c>
      <c r="P129" s="17">
        <f>ROUND(VLOOKUP(O$115&amp;"_2",管理者用人口入力シート!CO:DL,Q129,FALSE),0)</f>
        <v>140</v>
      </c>
      <c r="Q129" s="2">
        <v>16</v>
      </c>
      <c r="T129" s="85"/>
    </row>
    <row r="130" spans="7:20" x14ac:dyDescent="0.15">
      <c r="G130" s="2" t="s">
        <v>13</v>
      </c>
      <c r="H130" s="17">
        <f>ROUND(VLOOKUP(H$115&amp;"_1",管理者用人口入力シート!BH:CE,J130,FALSE),0)</f>
        <v>110</v>
      </c>
      <c r="I130" s="17">
        <f>ROUND(VLOOKUP(H$115&amp;"_2",管理者用人口入力シート!BH:CE,J130,FALSE),0)</f>
        <v>137</v>
      </c>
      <c r="J130" s="2">
        <v>17</v>
      </c>
      <c r="N130" s="2" t="s">
        <v>13</v>
      </c>
      <c r="O130" s="17">
        <f>ROUND(VLOOKUP(O$115&amp;"_1",管理者用人口入力シート!CO:DL,Q130,FALSE),0)</f>
        <v>110</v>
      </c>
      <c r="P130" s="17">
        <f>ROUND(VLOOKUP(O$115&amp;"_2",管理者用人口入力シート!CO:DL,Q130,FALSE),0)</f>
        <v>137</v>
      </c>
      <c r="Q130" s="2">
        <v>17</v>
      </c>
      <c r="T130" s="85"/>
    </row>
    <row r="131" spans="7:20" x14ac:dyDescent="0.15">
      <c r="G131" s="2" t="s">
        <v>14</v>
      </c>
      <c r="H131" s="17">
        <f>ROUND(VLOOKUP(H$115&amp;"_1",管理者用人口入力シート!BH:CE,J131,FALSE),0)</f>
        <v>104</v>
      </c>
      <c r="I131" s="17">
        <f>ROUND(VLOOKUP(H$115&amp;"_2",管理者用人口入力シート!BH:CE,J131,FALSE),0)</f>
        <v>112</v>
      </c>
      <c r="J131" s="2">
        <v>18</v>
      </c>
      <c r="N131" s="2" t="s">
        <v>14</v>
      </c>
      <c r="O131" s="17">
        <f>ROUND(VLOOKUP(O$115&amp;"_1",管理者用人口入力シート!CO:DL,Q131,FALSE),0)</f>
        <v>104</v>
      </c>
      <c r="P131" s="17">
        <f>ROUND(VLOOKUP(O$115&amp;"_2",管理者用人口入力シート!CO:DL,Q131,FALSE),0)</f>
        <v>112</v>
      </c>
      <c r="Q131" s="2">
        <v>18</v>
      </c>
      <c r="T131" s="85"/>
    </row>
    <row r="132" spans="7:20" x14ac:dyDescent="0.15">
      <c r="G132" s="2" t="s">
        <v>15</v>
      </c>
      <c r="H132" s="17">
        <f>ROUND(VLOOKUP(H$115&amp;"_1",管理者用人口入力シート!BH:CE,J132,FALSE),0)</f>
        <v>124</v>
      </c>
      <c r="I132" s="17">
        <f>ROUND(VLOOKUP(H$115&amp;"_2",管理者用人口入力シート!BH:CE,J132,FALSE),0)</f>
        <v>140</v>
      </c>
      <c r="J132" s="2">
        <v>19</v>
      </c>
      <c r="N132" s="2" t="s">
        <v>15</v>
      </c>
      <c r="O132" s="17">
        <f>ROUND(VLOOKUP(O$115&amp;"_1",管理者用人口入力シート!CO:DL,Q132,FALSE),0)</f>
        <v>124</v>
      </c>
      <c r="P132" s="17">
        <f>ROUND(VLOOKUP(O$115&amp;"_2",管理者用人口入力シート!CO:DL,Q132,FALSE),0)</f>
        <v>140</v>
      </c>
      <c r="Q132" s="2">
        <v>19</v>
      </c>
      <c r="T132" s="85"/>
    </row>
    <row r="133" spans="7:20" x14ac:dyDescent="0.15">
      <c r="G133" s="2" t="s">
        <v>16</v>
      </c>
      <c r="H133" s="17">
        <f>ROUND(VLOOKUP(H$115&amp;"_1",管理者用人口入力シート!BH:CE,J133,FALSE),0)</f>
        <v>120</v>
      </c>
      <c r="I133" s="17">
        <f>ROUND(VLOOKUP(H$115&amp;"_2",管理者用人口入力シート!BH:CE,J133,FALSE),0)</f>
        <v>169</v>
      </c>
      <c r="J133" s="2">
        <v>20</v>
      </c>
      <c r="N133" s="2" t="s">
        <v>16</v>
      </c>
      <c r="O133" s="17">
        <f>ROUND(VLOOKUP(O$115&amp;"_1",管理者用人口入力シート!CO:DL,Q133,FALSE),0)</f>
        <v>120</v>
      </c>
      <c r="P133" s="17">
        <f>ROUND(VLOOKUP(O$115&amp;"_2",管理者用人口入力シート!CO:DL,Q133,FALSE),0)</f>
        <v>169</v>
      </c>
      <c r="Q133" s="2">
        <v>20</v>
      </c>
      <c r="T133" s="85"/>
    </row>
    <row r="134" spans="7:20" x14ac:dyDescent="0.15">
      <c r="G134" s="2" t="s">
        <v>17</v>
      </c>
      <c r="H134" s="17">
        <f>ROUND(VLOOKUP(H$115&amp;"_1",管理者用人口入力シート!BH:CE,J134,FALSE),0)</f>
        <v>78</v>
      </c>
      <c r="I134" s="17">
        <f>ROUND(VLOOKUP(H$115&amp;"_2",管理者用人口入力シート!BH:CE,J134,FALSE),0)</f>
        <v>163</v>
      </c>
      <c r="J134" s="2">
        <v>21</v>
      </c>
      <c r="N134" s="2" t="s">
        <v>17</v>
      </c>
      <c r="O134" s="17">
        <f>ROUND(VLOOKUP(O$115&amp;"_1",管理者用人口入力シート!CO:DL,Q134,FALSE),0)</f>
        <v>78</v>
      </c>
      <c r="P134" s="17">
        <f>ROUND(VLOOKUP(O$115&amp;"_2",管理者用人口入力シート!CO:DL,Q134,FALSE),0)</f>
        <v>163</v>
      </c>
      <c r="Q134" s="2">
        <v>21</v>
      </c>
      <c r="T134" s="85"/>
    </row>
    <row r="135" spans="7:20" x14ac:dyDescent="0.15">
      <c r="G135" s="2" t="s">
        <v>18</v>
      </c>
      <c r="H135" s="17">
        <f>ROUND(VLOOKUP(H$115&amp;"_1",管理者用人口入力シート!BH:CE,J135,FALSE),0)</f>
        <v>31</v>
      </c>
      <c r="I135" s="17">
        <f>ROUND(VLOOKUP(H$115&amp;"_2",管理者用人口入力シート!BH:CE,J135,FALSE),0)</f>
        <v>70</v>
      </c>
      <c r="J135" s="2">
        <v>22</v>
      </c>
      <c r="N135" s="2" t="s">
        <v>18</v>
      </c>
      <c r="O135" s="17">
        <f>ROUND(VLOOKUP(O$115&amp;"_1",管理者用人口入力シート!CO:DL,Q135,FALSE),0)</f>
        <v>31</v>
      </c>
      <c r="P135" s="17">
        <f>ROUND(VLOOKUP(O$115&amp;"_2",管理者用人口入力シート!CO:DL,Q135,FALSE),0)</f>
        <v>70</v>
      </c>
      <c r="Q135" s="2">
        <v>22</v>
      </c>
      <c r="T135" s="85"/>
    </row>
    <row r="136" spans="7:20" x14ac:dyDescent="0.15">
      <c r="G136" s="2" t="s">
        <v>19</v>
      </c>
      <c r="H136" s="17">
        <f>ROUND(VLOOKUP(H$115&amp;"_1",管理者用人口入力シート!BH:CE,J136,FALSE),0)</f>
        <v>11</v>
      </c>
      <c r="I136" s="17">
        <f>ROUND(VLOOKUP(H$115&amp;"_2",管理者用人口入力シート!BH:CE,J136,FALSE),0)</f>
        <v>33</v>
      </c>
      <c r="J136" s="2">
        <v>23</v>
      </c>
      <c r="N136" s="2" t="s">
        <v>19</v>
      </c>
      <c r="O136" s="17">
        <f>ROUND(VLOOKUP(O$115&amp;"_1",管理者用人口入力シート!CO:DL,Q136,FALSE),0)</f>
        <v>11</v>
      </c>
      <c r="P136" s="17">
        <f>ROUND(VLOOKUP(O$115&amp;"_2",管理者用人口入力シート!CO:DL,Q136,FALSE),0)</f>
        <v>33</v>
      </c>
      <c r="Q136" s="2">
        <v>23</v>
      </c>
      <c r="T136" s="85"/>
    </row>
    <row r="137" spans="7:20" x14ac:dyDescent="0.15">
      <c r="G137" s="2" t="s">
        <v>20</v>
      </c>
      <c r="H137" s="17">
        <f>ROUND(VLOOKUP(H$115&amp;"_1",管理者用人口入力シート!BH:CE,J137,FALSE),0)</f>
        <v>3</v>
      </c>
      <c r="I137" s="17">
        <f>ROUND(VLOOKUP(H$115&amp;"_2",管理者用人口入力シート!BH:CE,J137,FALSE),0)</f>
        <v>8</v>
      </c>
      <c r="J137" s="2">
        <v>24</v>
      </c>
      <c r="N137" s="2" t="s">
        <v>20</v>
      </c>
      <c r="O137" s="17">
        <f>ROUND(VLOOKUP(O$115&amp;"_1",管理者用人口入力シート!CO:DL,Q137,FALSE),0)</f>
        <v>3</v>
      </c>
      <c r="P137" s="17">
        <f>ROUND(VLOOKUP(O$115&amp;"_2",管理者用人口入力シート!CO:DL,Q137,FALSE),0)</f>
        <v>8</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70</v>
      </c>
      <c r="I141" s="17">
        <f>ROUND(VLOOKUP(H$139&amp;"_2",管理者用人口入力シート!BH:CE,J141,FALSE),0)</f>
        <v>51</v>
      </c>
      <c r="J141" s="2">
        <v>4</v>
      </c>
      <c r="N141" s="2" t="s">
        <v>0</v>
      </c>
      <c r="O141" s="17">
        <f>ROUND(VLOOKUP(O$139&amp;"_1",管理者用人口入力シート!CO:DL,Q141,FALSE),0)</f>
        <v>73</v>
      </c>
      <c r="P141" s="17">
        <f>ROUND(VLOOKUP(O$139&amp;"_2",管理者用人口入力シート!CO:DL,Q141,FALSE),0)</f>
        <v>53</v>
      </c>
      <c r="Q141" s="2">
        <v>4</v>
      </c>
    </row>
    <row r="142" spans="7:20" x14ac:dyDescent="0.15">
      <c r="G142" s="2" t="s">
        <v>1</v>
      </c>
      <c r="H142" s="17">
        <f>ROUND(VLOOKUP(H$139&amp;"_1",管理者用人口入力シート!BH:CE,J142,FALSE),0)</f>
        <v>85</v>
      </c>
      <c r="I142" s="17">
        <f>ROUND(VLOOKUP(H$139&amp;"_2",管理者用人口入力シート!BH:CE,J142,FALSE),0)</f>
        <v>61</v>
      </c>
      <c r="J142" s="2">
        <v>5</v>
      </c>
      <c r="N142" s="2" t="s">
        <v>1</v>
      </c>
      <c r="O142" s="17">
        <f>ROUND(VLOOKUP(O$139&amp;"_1",管理者用人口入力シート!CO:DL,Q142,FALSE),0)</f>
        <v>89</v>
      </c>
      <c r="P142" s="17">
        <f>ROUND(VLOOKUP(O$139&amp;"_2",管理者用人口入力シート!CO:DL,Q142,FALSE),0)</f>
        <v>64</v>
      </c>
      <c r="Q142" s="2">
        <v>5</v>
      </c>
    </row>
    <row r="143" spans="7:20" x14ac:dyDescent="0.15">
      <c r="G143" s="2" t="s">
        <v>2</v>
      </c>
      <c r="H143" s="17">
        <f>ROUND(VLOOKUP(H$139&amp;"_1",管理者用人口入力シート!BH:CE,J143,FALSE),0)</f>
        <v>100</v>
      </c>
      <c r="I143" s="17">
        <f>ROUND(VLOOKUP(H$139&amp;"_2",管理者用人口入力シート!BH:CE,J143,FALSE),0)</f>
        <v>68</v>
      </c>
      <c r="J143" s="2">
        <v>6</v>
      </c>
      <c r="N143" s="2" t="s">
        <v>2</v>
      </c>
      <c r="O143" s="17">
        <f>ROUND(VLOOKUP(O$139&amp;"_1",管理者用人口入力シート!CO:DL,Q143,FALSE),0)</f>
        <v>104</v>
      </c>
      <c r="P143" s="17">
        <f>ROUND(VLOOKUP(O$139&amp;"_2",管理者用人口入力シート!CO:DL,Q143,FALSE),0)</f>
        <v>71</v>
      </c>
      <c r="Q143" s="2">
        <v>6</v>
      </c>
    </row>
    <row r="144" spans="7:20" x14ac:dyDescent="0.15">
      <c r="G144" s="2" t="s">
        <v>3</v>
      </c>
      <c r="H144" s="17">
        <f>ROUND(VLOOKUP(H$139&amp;"_1",管理者用人口入力シート!BH:CE,J144,FALSE),0)</f>
        <v>86</v>
      </c>
      <c r="I144" s="17">
        <f>ROUND(VLOOKUP(H$139&amp;"_2",管理者用人口入力シート!BH:CE,J144,FALSE),0)</f>
        <v>65</v>
      </c>
      <c r="J144" s="2">
        <v>7</v>
      </c>
      <c r="N144" s="2" t="s">
        <v>3</v>
      </c>
      <c r="O144" s="17">
        <f>ROUND(VLOOKUP(O$139&amp;"_1",管理者用人口入力シート!CO:DL,Q144,FALSE),0)</f>
        <v>87</v>
      </c>
      <c r="P144" s="17">
        <f>ROUND(VLOOKUP(O$139&amp;"_2",管理者用人口入力シート!CO:DL,Q144,FALSE),0)</f>
        <v>66</v>
      </c>
      <c r="Q144" s="2">
        <v>7</v>
      </c>
    </row>
    <row r="145" spans="7:17" x14ac:dyDescent="0.15">
      <c r="G145" s="2" t="s">
        <v>4</v>
      </c>
      <c r="H145" s="17">
        <f>ROUND(VLOOKUP(H$139&amp;"_1",管理者用人口入力シート!BH:CE,J145,FALSE),0)</f>
        <v>62</v>
      </c>
      <c r="I145" s="17">
        <f>ROUND(VLOOKUP(H$139&amp;"_2",管理者用人口入力シート!BH:CE,J145,FALSE),0)</f>
        <v>42</v>
      </c>
      <c r="J145" s="2">
        <v>8</v>
      </c>
      <c r="N145" s="2" t="s">
        <v>4</v>
      </c>
      <c r="O145" s="17">
        <f>ROUND(VLOOKUP(O$139&amp;"_1",管理者用人口入力シート!CO:DL,Q145,FALSE),0)</f>
        <v>62</v>
      </c>
      <c r="P145" s="17">
        <f>ROUND(VLOOKUP(O$139&amp;"_2",管理者用人口入力シート!CO:DL,Q145,FALSE),0)</f>
        <v>43</v>
      </c>
      <c r="Q145" s="2">
        <v>8</v>
      </c>
    </row>
    <row r="146" spans="7:17" x14ac:dyDescent="0.15">
      <c r="G146" s="2" t="s">
        <v>5</v>
      </c>
      <c r="H146" s="17">
        <f>ROUND(VLOOKUP(H$139&amp;"_1",管理者用人口入力シート!BH:CE,J146,FALSE),0)</f>
        <v>48</v>
      </c>
      <c r="I146" s="17">
        <f>ROUND(VLOOKUP(H$139&amp;"_2",管理者用人口入力シート!BH:CE,J146,FALSE),0)</f>
        <v>57</v>
      </c>
      <c r="J146" s="2">
        <v>9</v>
      </c>
      <c r="N146" s="2" t="s">
        <v>5</v>
      </c>
      <c r="O146" s="17">
        <f>ROUND(VLOOKUP(O$139&amp;"_1",管理者用人口入力シート!CO:DL,Q146,FALSE),0)</f>
        <v>50</v>
      </c>
      <c r="P146" s="17">
        <f>ROUND(VLOOKUP(O$139&amp;"_2",管理者用人口入力シート!CO:DL,Q146,FALSE),0)</f>
        <v>59</v>
      </c>
      <c r="Q146" s="2">
        <v>9</v>
      </c>
    </row>
    <row r="147" spans="7:17" x14ac:dyDescent="0.15">
      <c r="G147" s="2" t="s">
        <v>6</v>
      </c>
      <c r="H147" s="17">
        <f>ROUND(VLOOKUP(H$139&amp;"_1",管理者用人口入力シート!BH:CE,J147,FALSE),0)</f>
        <v>56</v>
      </c>
      <c r="I147" s="17">
        <f>ROUND(VLOOKUP(H$139&amp;"_2",管理者用人口入力シート!BH:CE,J147,FALSE),0)</f>
        <v>53</v>
      </c>
      <c r="J147" s="2">
        <v>10</v>
      </c>
      <c r="N147" s="2" t="s">
        <v>6</v>
      </c>
      <c r="O147" s="17">
        <f>ROUND(VLOOKUP(O$139&amp;"_1",管理者用人口入力シート!CO:DL,Q147,FALSE),0)</f>
        <v>58</v>
      </c>
      <c r="P147" s="17">
        <f>ROUND(VLOOKUP(O$139&amp;"_2",管理者用人口入力シート!CO:DL,Q147,FALSE),0)</f>
        <v>55</v>
      </c>
      <c r="Q147" s="2">
        <v>10</v>
      </c>
    </row>
    <row r="148" spans="7:17" x14ac:dyDescent="0.15">
      <c r="G148" s="2" t="s">
        <v>7</v>
      </c>
      <c r="H148" s="17">
        <f>ROUND(VLOOKUP(H$139&amp;"_1",管理者用人口入力シート!BH:CE,J148,FALSE),0)</f>
        <v>59</v>
      </c>
      <c r="I148" s="17">
        <f>ROUND(VLOOKUP(H$139&amp;"_2",管理者用人口入力シート!BH:CE,J148,FALSE),0)</f>
        <v>78</v>
      </c>
      <c r="J148" s="2">
        <v>11</v>
      </c>
      <c r="N148" s="2" t="s">
        <v>7</v>
      </c>
      <c r="O148" s="17">
        <f>ROUND(VLOOKUP(O$139&amp;"_1",管理者用人口入力シート!CO:DL,Q148,FALSE),0)</f>
        <v>62</v>
      </c>
      <c r="P148" s="17">
        <f>ROUND(VLOOKUP(O$139&amp;"_2",管理者用人口入力シート!CO:DL,Q148,FALSE),0)</f>
        <v>81</v>
      </c>
      <c r="Q148" s="2">
        <v>11</v>
      </c>
    </row>
    <row r="149" spans="7:17" x14ac:dyDescent="0.15">
      <c r="G149" s="2" t="s">
        <v>8</v>
      </c>
      <c r="H149" s="17">
        <f>ROUND(VLOOKUP(H$139&amp;"_1",管理者用人口入力シート!BH:CE,J149,FALSE),0)</f>
        <v>89</v>
      </c>
      <c r="I149" s="17">
        <f>ROUND(VLOOKUP(H$139&amp;"_2",管理者用人口入力シート!BH:CE,J149,FALSE),0)</f>
        <v>78</v>
      </c>
      <c r="J149" s="2">
        <v>12</v>
      </c>
      <c r="N149" s="2" t="s">
        <v>8</v>
      </c>
      <c r="O149" s="17">
        <f>ROUND(VLOOKUP(O$139&amp;"_1",管理者用人口入力シート!CO:DL,Q149,FALSE),0)</f>
        <v>91</v>
      </c>
      <c r="P149" s="17">
        <f>ROUND(VLOOKUP(O$139&amp;"_2",管理者用人口入力シート!CO:DL,Q149,FALSE),0)</f>
        <v>81</v>
      </c>
      <c r="Q149" s="2">
        <v>12</v>
      </c>
    </row>
    <row r="150" spans="7:17" x14ac:dyDescent="0.15">
      <c r="G150" s="2" t="s">
        <v>9</v>
      </c>
      <c r="H150" s="17">
        <f>ROUND(VLOOKUP(H$139&amp;"_1",管理者用人口入力シート!BH:CE,J150,FALSE),0)</f>
        <v>93</v>
      </c>
      <c r="I150" s="17">
        <f>ROUND(VLOOKUP(H$139&amp;"_2",管理者用人口入力シート!BH:CE,J150,FALSE),0)</f>
        <v>106</v>
      </c>
      <c r="J150" s="2">
        <v>13</v>
      </c>
      <c r="N150" s="2" t="s">
        <v>9</v>
      </c>
      <c r="O150" s="17">
        <f>ROUND(VLOOKUP(O$139&amp;"_1",管理者用人口入力シート!CO:DL,Q150,FALSE),0)</f>
        <v>93</v>
      </c>
      <c r="P150" s="17">
        <f>ROUND(VLOOKUP(O$139&amp;"_2",管理者用人口入力シート!CO:DL,Q150,FALSE),0)</f>
        <v>107</v>
      </c>
      <c r="Q150" s="2">
        <v>13</v>
      </c>
    </row>
    <row r="151" spans="7:17" x14ac:dyDescent="0.15">
      <c r="G151" s="2" t="s">
        <v>10</v>
      </c>
      <c r="H151" s="17">
        <f>ROUND(VLOOKUP(H$139&amp;"_1",管理者用人口入力シート!BH:CE,J151,FALSE),0)</f>
        <v>110</v>
      </c>
      <c r="I151" s="17">
        <f>ROUND(VLOOKUP(H$139&amp;"_2",管理者用人口入力シート!BH:CE,J151,FALSE),0)</f>
        <v>99</v>
      </c>
      <c r="J151" s="2">
        <v>14</v>
      </c>
      <c r="N151" s="2" t="s">
        <v>10</v>
      </c>
      <c r="O151" s="17">
        <f>ROUND(VLOOKUP(O$139&amp;"_1",管理者用人口入力シート!CO:DL,Q151,FALSE),0)</f>
        <v>110</v>
      </c>
      <c r="P151" s="17">
        <f>ROUND(VLOOKUP(O$139&amp;"_2",管理者用人口入力シート!CO:DL,Q151,FALSE),0)</f>
        <v>100</v>
      </c>
      <c r="Q151" s="2">
        <v>14</v>
      </c>
    </row>
    <row r="152" spans="7:17" x14ac:dyDescent="0.15">
      <c r="G152" s="2" t="s">
        <v>11</v>
      </c>
      <c r="H152" s="17">
        <f>ROUND(VLOOKUP(H$139&amp;"_1",管理者用人口入力シート!BH:CE,J152,FALSE),0)</f>
        <v>115</v>
      </c>
      <c r="I152" s="17">
        <f>ROUND(VLOOKUP(H$139&amp;"_2",管理者用人口入力シート!BH:CE,J152,FALSE),0)</f>
        <v>106</v>
      </c>
      <c r="J152" s="2">
        <v>15</v>
      </c>
      <c r="N152" s="2" t="s">
        <v>11</v>
      </c>
      <c r="O152" s="17">
        <f>ROUND(VLOOKUP(O$139&amp;"_1",管理者用人口入力シート!CO:DL,Q152,FALSE),0)</f>
        <v>115</v>
      </c>
      <c r="P152" s="17">
        <f>ROUND(VLOOKUP(O$139&amp;"_2",管理者用人口入力シート!CO:DL,Q152,FALSE),0)</f>
        <v>107</v>
      </c>
      <c r="Q152" s="2">
        <v>15</v>
      </c>
    </row>
    <row r="153" spans="7:17" x14ac:dyDescent="0.15">
      <c r="G153" s="2" t="s">
        <v>12</v>
      </c>
      <c r="H153" s="17">
        <f>ROUND(VLOOKUP(H$139&amp;"_1",管理者用人口入力シート!BH:CE,J153,FALSE),0)</f>
        <v>117</v>
      </c>
      <c r="I153" s="17">
        <f>ROUND(VLOOKUP(H$139&amp;"_2",管理者用人口入力シート!BH:CE,J153,FALSE),0)</f>
        <v>126</v>
      </c>
      <c r="J153" s="2">
        <v>16</v>
      </c>
      <c r="N153" s="2" t="s">
        <v>12</v>
      </c>
      <c r="O153" s="17">
        <f>ROUND(VLOOKUP(O$139&amp;"_1",管理者用人口入力シート!CO:DL,Q153,FALSE),0)</f>
        <v>117</v>
      </c>
      <c r="P153" s="17">
        <f>ROUND(VLOOKUP(O$139&amp;"_2",管理者用人口入力シート!CO:DL,Q153,FALSE),0)</f>
        <v>126</v>
      </c>
      <c r="Q153" s="2">
        <v>16</v>
      </c>
    </row>
    <row r="154" spans="7:17" x14ac:dyDescent="0.15">
      <c r="G154" s="2" t="s">
        <v>13</v>
      </c>
      <c r="H154" s="17">
        <f>ROUND(VLOOKUP(H$139&amp;"_1",管理者用人口入力シート!BH:CE,J154,FALSE),0)</f>
        <v>123</v>
      </c>
      <c r="I154" s="17">
        <f>ROUND(VLOOKUP(H$139&amp;"_2",管理者用人口入力シート!BH:CE,J154,FALSE),0)</f>
        <v>140</v>
      </c>
      <c r="J154" s="2">
        <v>17</v>
      </c>
      <c r="N154" s="2" t="s">
        <v>13</v>
      </c>
      <c r="O154" s="17">
        <f>ROUND(VLOOKUP(O$139&amp;"_1",管理者用人口入力シート!CO:DL,Q154,FALSE),0)</f>
        <v>123</v>
      </c>
      <c r="P154" s="17">
        <f>ROUND(VLOOKUP(O$139&amp;"_2",管理者用人口入力シート!CO:DL,Q154,FALSE),0)</f>
        <v>140</v>
      </c>
      <c r="Q154" s="2">
        <v>17</v>
      </c>
    </row>
    <row r="155" spans="7:17" x14ac:dyDescent="0.15">
      <c r="G155" s="2" t="s">
        <v>14</v>
      </c>
      <c r="H155" s="17">
        <f>ROUND(VLOOKUP(H$139&amp;"_1",管理者用人口入力シート!BH:CE,J155,FALSE),0)</f>
        <v>100</v>
      </c>
      <c r="I155" s="17">
        <f>ROUND(VLOOKUP(H$139&amp;"_2",管理者用人口入力シート!BH:CE,J155,FALSE),0)</f>
        <v>132</v>
      </c>
      <c r="J155" s="2">
        <v>18</v>
      </c>
      <c r="N155" s="2" t="s">
        <v>14</v>
      </c>
      <c r="O155" s="17">
        <f>ROUND(VLOOKUP(O$139&amp;"_1",管理者用人口入力シート!CO:DL,Q155,FALSE),0)</f>
        <v>100</v>
      </c>
      <c r="P155" s="17">
        <f>ROUND(VLOOKUP(O$139&amp;"_2",管理者用人口入力シート!CO:DL,Q155,FALSE),0)</f>
        <v>132</v>
      </c>
      <c r="Q155" s="2">
        <v>18</v>
      </c>
    </row>
    <row r="156" spans="7:17" x14ac:dyDescent="0.15">
      <c r="G156" s="2" t="s">
        <v>15</v>
      </c>
      <c r="H156" s="17">
        <f>ROUND(VLOOKUP(H$139&amp;"_1",管理者用人口入力シート!BH:CE,J156,FALSE),0)</f>
        <v>91</v>
      </c>
      <c r="I156" s="17">
        <f>ROUND(VLOOKUP(H$139&amp;"_2",管理者用人口入力シート!BH:CE,J156,FALSE),0)</f>
        <v>106</v>
      </c>
      <c r="J156" s="2">
        <v>19</v>
      </c>
      <c r="N156" s="2" t="s">
        <v>15</v>
      </c>
      <c r="O156" s="17">
        <f>ROUND(VLOOKUP(O$139&amp;"_1",管理者用人口入力シート!CO:DL,Q156,FALSE),0)</f>
        <v>91</v>
      </c>
      <c r="P156" s="17">
        <f>ROUND(VLOOKUP(O$139&amp;"_2",管理者用人口入力シート!CO:DL,Q156,FALSE),0)</f>
        <v>106</v>
      </c>
      <c r="Q156" s="2">
        <v>19</v>
      </c>
    </row>
    <row r="157" spans="7:17" x14ac:dyDescent="0.15">
      <c r="G157" s="2" t="s">
        <v>16</v>
      </c>
      <c r="H157" s="17">
        <f>ROUND(VLOOKUP(H$139&amp;"_1",管理者用人口入力シート!BH:CE,J157,FALSE),0)</f>
        <v>102</v>
      </c>
      <c r="I157" s="17">
        <f>ROUND(VLOOKUP(H$139&amp;"_2",管理者用人口入力シート!BH:CE,J157,FALSE),0)</f>
        <v>124</v>
      </c>
      <c r="J157" s="2">
        <v>20</v>
      </c>
      <c r="N157" s="2" t="s">
        <v>16</v>
      </c>
      <c r="O157" s="17">
        <f>ROUND(VLOOKUP(O$139&amp;"_1",管理者用人口入力シート!CO:DL,Q157,FALSE),0)</f>
        <v>102</v>
      </c>
      <c r="P157" s="17">
        <f>ROUND(VLOOKUP(O$139&amp;"_2",管理者用人口入力シート!CO:DL,Q157,FALSE),0)</f>
        <v>124</v>
      </c>
      <c r="Q157" s="2">
        <v>20</v>
      </c>
    </row>
    <row r="158" spans="7:17" x14ac:dyDescent="0.15">
      <c r="G158" s="2" t="s">
        <v>17</v>
      </c>
      <c r="H158" s="17">
        <f>ROUND(VLOOKUP(H$139&amp;"_1",管理者用人口入力シート!BH:CE,J158,FALSE),0)</f>
        <v>72</v>
      </c>
      <c r="I158" s="17">
        <f>ROUND(VLOOKUP(H$139&amp;"_2",管理者用人口入力シート!BH:CE,J158,FALSE),0)</f>
        <v>138</v>
      </c>
      <c r="J158" s="2">
        <v>21</v>
      </c>
      <c r="N158" s="2" t="s">
        <v>17</v>
      </c>
      <c r="O158" s="17">
        <f>ROUND(VLOOKUP(O$139&amp;"_1",管理者用人口入力シート!CO:DL,Q158,FALSE),0)</f>
        <v>72</v>
      </c>
      <c r="P158" s="17">
        <f>ROUND(VLOOKUP(O$139&amp;"_2",管理者用人口入力シート!CO:DL,Q158,FALSE),0)</f>
        <v>138</v>
      </c>
      <c r="Q158" s="2">
        <v>21</v>
      </c>
    </row>
    <row r="159" spans="7:17" x14ac:dyDescent="0.15">
      <c r="G159" s="2" t="s">
        <v>18</v>
      </c>
      <c r="H159" s="17">
        <f>ROUND(VLOOKUP(H$139&amp;"_1",管理者用人口入力シート!BH:CE,J159,FALSE),0)</f>
        <v>32</v>
      </c>
      <c r="I159" s="17">
        <f>ROUND(VLOOKUP(H$139&amp;"_2",管理者用人口入力シート!BH:CE,J159,FALSE),0)</f>
        <v>97</v>
      </c>
      <c r="J159" s="2">
        <v>22</v>
      </c>
      <c r="N159" s="2" t="s">
        <v>18</v>
      </c>
      <c r="O159" s="17">
        <f>ROUND(VLOOKUP(O$139&amp;"_1",管理者用人口入力シート!CO:DL,Q159,FALSE),0)</f>
        <v>32</v>
      </c>
      <c r="P159" s="17">
        <f>ROUND(VLOOKUP(O$139&amp;"_2",管理者用人口入力シート!CO:DL,Q159,FALSE),0)</f>
        <v>97</v>
      </c>
      <c r="Q159" s="2">
        <v>22</v>
      </c>
    </row>
    <row r="160" spans="7:17" x14ac:dyDescent="0.15">
      <c r="G160" s="2" t="s">
        <v>19</v>
      </c>
      <c r="H160" s="17">
        <f>ROUND(VLOOKUP(H$139&amp;"_1",管理者用人口入力シート!BH:CE,J160,FALSE),0)</f>
        <v>13</v>
      </c>
      <c r="I160" s="17">
        <f>ROUND(VLOOKUP(H$139&amp;"_2",管理者用人口入力シート!BH:CE,J160,FALSE),0)</f>
        <v>31</v>
      </c>
      <c r="J160" s="2">
        <v>23</v>
      </c>
      <c r="N160" s="2" t="s">
        <v>19</v>
      </c>
      <c r="O160" s="17">
        <f>ROUND(VLOOKUP(O$139&amp;"_1",管理者用人口入力シート!CO:DL,Q160,FALSE),0)</f>
        <v>13</v>
      </c>
      <c r="P160" s="17">
        <f>ROUND(VLOOKUP(O$139&amp;"_2",管理者用人口入力シート!CO:DL,Q160,FALSE),0)</f>
        <v>31</v>
      </c>
      <c r="Q160" s="2">
        <v>23</v>
      </c>
    </row>
    <row r="161" spans="7:17" x14ac:dyDescent="0.15">
      <c r="G161" s="2" t="s">
        <v>20</v>
      </c>
      <c r="H161" s="17">
        <f>ROUND(VLOOKUP(H$139&amp;"_1",管理者用人口入力シート!BH:CE,J161,FALSE),0)</f>
        <v>3</v>
      </c>
      <c r="I161" s="17">
        <f>ROUND(VLOOKUP(H$139&amp;"_2",管理者用人口入力シート!BH:CE,J161,FALSE),0)</f>
        <v>7</v>
      </c>
      <c r="J161" s="2">
        <v>24</v>
      </c>
      <c r="N161" s="2" t="s">
        <v>20</v>
      </c>
      <c r="O161" s="17">
        <f>ROUND(VLOOKUP(O$139&amp;"_1",管理者用人口入力シート!CO:DL,Q161,FALSE),0)</f>
        <v>3</v>
      </c>
      <c r="P161" s="17">
        <f>ROUND(VLOOKUP(O$139&amp;"_2",管理者用人口入力シート!CO:DL,Q161,FALSE),0)</f>
        <v>7</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62</v>
      </c>
      <c r="I165" s="17">
        <f>ROUND(VLOOKUP(H$163&amp;"_2",管理者用人口入力シート!BH:CE,J165,FALSE),0)</f>
        <v>45</v>
      </c>
      <c r="J165" s="2">
        <v>4</v>
      </c>
      <c r="N165" s="2" t="s">
        <v>0</v>
      </c>
      <c r="O165" s="17">
        <f>ROUND(VLOOKUP(O$163&amp;"_1",管理者用人口入力シート!CO:DL,Q165,FALSE),0)</f>
        <v>66</v>
      </c>
      <c r="P165" s="17">
        <f>ROUND(VLOOKUP(O$163&amp;"_2",管理者用人口入力シート!CO:DL,Q165,FALSE),0)</f>
        <v>48</v>
      </c>
      <c r="Q165" s="2">
        <v>4</v>
      </c>
    </row>
    <row r="166" spans="7:17" x14ac:dyDescent="0.15">
      <c r="G166" s="2" t="s">
        <v>1</v>
      </c>
      <c r="H166" s="17">
        <f>ROUND(VLOOKUP(H$163&amp;"_1",管理者用人口入力シート!BH:CE,J166,FALSE),0)</f>
        <v>77</v>
      </c>
      <c r="I166" s="17">
        <f>ROUND(VLOOKUP(H$163&amp;"_2",管理者用人口入力シート!BH:CE,J166,FALSE),0)</f>
        <v>55</v>
      </c>
      <c r="J166" s="2">
        <v>5</v>
      </c>
      <c r="N166" s="2" t="s">
        <v>1</v>
      </c>
      <c r="O166" s="17">
        <f>ROUND(VLOOKUP(O$163&amp;"_1",管理者用人口入力シート!CO:DL,Q166,FALSE),0)</f>
        <v>81</v>
      </c>
      <c r="P166" s="17">
        <f>ROUND(VLOOKUP(O$163&amp;"_2",管理者用人口入力シート!CO:DL,Q166,FALSE),0)</f>
        <v>58</v>
      </c>
      <c r="Q166" s="2">
        <v>5</v>
      </c>
    </row>
    <row r="167" spans="7:17" x14ac:dyDescent="0.15">
      <c r="G167" s="2" t="s">
        <v>2</v>
      </c>
      <c r="H167" s="17">
        <f>ROUND(VLOOKUP(H$163&amp;"_1",管理者用人口入力シート!BH:CE,J167,FALSE),0)</f>
        <v>89</v>
      </c>
      <c r="I167" s="17">
        <f>ROUND(VLOOKUP(H$163&amp;"_2",管理者用人口入力シート!BH:CE,J167,FALSE),0)</f>
        <v>60</v>
      </c>
      <c r="J167" s="2">
        <v>6</v>
      </c>
      <c r="N167" s="2" t="s">
        <v>2</v>
      </c>
      <c r="O167" s="17">
        <f>ROUND(VLOOKUP(O$163&amp;"_1",管理者用人口入力シート!CO:DL,Q167,FALSE),0)</f>
        <v>94</v>
      </c>
      <c r="P167" s="17">
        <f>ROUND(VLOOKUP(O$163&amp;"_2",管理者用人口入力シート!CO:DL,Q167,FALSE),0)</f>
        <v>64</v>
      </c>
      <c r="Q167" s="2">
        <v>6</v>
      </c>
    </row>
    <row r="168" spans="7:17" x14ac:dyDescent="0.15">
      <c r="G168" s="2" t="s">
        <v>3</v>
      </c>
      <c r="H168" s="17">
        <f>ROUND(VLOOKUP(H$163&amp;"_1",管理者用人口入力シート!BH:CE,J168,FALSE),0)</f>
        <v>78</v>
      </c>
      <c r="I168" s="17">
        <f>ROUND(VLOOKUP(H$163&amp;"_2",管理者用人口入力シート!BH:CE,J168,FALSE),0)</f>
        <v>59</v>
      </c>
      <c r="J168" s="2">
        <v>7</v>
      </c>
      <c r="N168" s="2" t="s">
        <v>3</v>
      </c>
      <c r="O168" s="17">
        <f>ROUND(VLOOKUP(O$163&amp;"_1",管理者用人口入力シート!CO:DL,Q168,FALSE),0)</f>
        <v>81</v>
      </c>
      <c r="P168" s="17">
        <f>ROUND(VLOOKUP(O$163&amp;"_2",管理者用人口入力シート!CO:DL,Q168,FALSE),0)</f>
        <v>62</v>
      </c>
      <c r="Q168" s="2">
        <v>7</v>
      </c>
    </row>
    <row r="169" spans="7:17" x14ac:dyDescent="0.15">
      <c r="G169" s="2" t="s">
        <v>4</v>
      </c>
      <c r="H169" s="17">
        <f>ROUND(VLOOKUP(H$163&amp;"_1",管理者用人口入力シート!BH:CE,J169,FALSE),0)</f>
        <v>58</v>
      </c>
      <c r="I169" s="17">
        <f>ROUND(VLOOKUP(H$163&amp;"_2",管理者用人口入力シート!BH:CE,J169,FALSE),0)</f>
        <v>40</v>
      </c>
      <c r="J169" s="2">
        <v>8</v>
      </c>
      <c r="N169" s="2" t="s">
        <v>4</v>
      </c>
      <c r="O169" s="17">
        <f>ROUND(VLOOKUP(O$163&amp;"_1",管理者用人口入力シート!CO:DL,Q169,FALSE),0)</f>
        <v>59</v>
      </c>
      <c r="P169" s="17">
        <f>ROUND(VLOOKUP(O$163&amp;"_2",管理者用人口入力シート!CO:DL,Q169,FALSE),0)</f>
        <v>41</v>
      </c>
      <c r="Q169" s="2">
        <v>8</v>
      </c>
    </row>
    <row r="170" spans="7:17" x14ac:dyDescent="0.15">
      <c r="G170" s="2" t="s">
        <v>5</v>
      </c>
      <c r="H170" s="17">
        <f>ROUND(VLOOKUP(H$163&amp;"_1",管理者用人口入力シート!BH:CE,J170,FALSE),0)</f>
        <v>61</v>
      </c>
      <c r="I170" s="17">
        <f>ROUND(VLOOKUP(H$163&amp;"_2",管理者用人口入力シート!BH:CE,J170,FALSE),0)</f>
        <v>45</v>
      </c>
      <c r="J170" s="2">
        <v>9</v>
      </c>
      <c r="N170" s="2" t="s">
        <v>5</v>
      </c>
      <c r="O170" s="17">
        <f>ROUND(VLOOKUP(O$163&amp;"_1",管理者用人口入力シート!CO:DL,Q170,FALSE),0)</f>
        <v>64</v>
      </c>
      <c r="P170" s="17">
        <f>ROUND(VLOOKUP(O$163&amp;"_2",管理者用人口入力シート!CO:DL,Q170,FALSE),0)</f>
        <v>47</v>
      </c>
      <c r="Q170" s="2">
        <v>9</v>
      </c>
    </row>
    <row r="171" spans="7:17" x14ac:dyDescent="0.15">
      <c r="G171" s="2" t="s">
        <v>6</v>
      </c>
      <c r="H171" s="17">
        <f>ROUND(VLOOKUP(H$163&amp;"_1",管理者用人口入力シート!BH:CE,J171,FALSE),0)</f>
        <v>52</v>
      </c>
      <c r="I171" s="17">
        <f>ROUND(VLOOKUP(H$163&amp;"_2",管理者用人口入力シート!BH:CE,J171,FALSE),0)</f>
        <v>60</v>
      </c>
      <c r="J171" s="2">
        <v>10</v>
      </c>
      <c r="N171" s="2" t="s">
        <v>6</v>
      </c>
      <c r="O171" s="17">
        <f>ROUND(VLOOKUP(O$163&amp;"_1",管理者用人口入力シート!CO:DL,Q171,FALSE),0)</f>
        <v>55</v>
      </c>
      <c r="P171" s="17">
        <f>ROUND(VLOOKUP(O$163&amp;"_2",管理者用人口入力シート!CO:DL,Q171,FALSE),0)</f>
        <v>63</v>
      </c>
      <c r="Q171" s="2">
        <v>10</v>
      </c>
    </row>
    <row r="172" spans="7:17" x14ac:dyDescent="0.15">
      <c r="G172" s="2" t="s">
        <v>7</v>
      </c>
      <c r="H172" s="17">
        <f>ROUND(VLOOKUP(H$163&amp;"_1",管理者用人口入力シート!BH:CE,J172,FALSE),0)</f>
        <v>57</v>
      </c>
      <c r="I172" s="17">
        <f>ROUND(VLOOKUP(H$163&amp;"_2",管理者用人口入力シート!BH:CE,J172,FALSE),0)</f>
        <v>59</v>
      </c>
      <c r="J172" s="2">
        <v>11</v>
      </c>
      <c r="N172" s="2" t="s">
        <v>7</v>
      </c>
      <c r="O172" s="17">
        <f>ROUND(VLOOKUP(O$163&amp;"_1",管理者用人口入力シート!CO:DL,Q172,FALSE),0)</f>
        <v>59</v>
      </c>
      <c r="P172" s="17">
        <f>ROUND(VLOOKUP(O$163&amp;"_2",管理者用人口入力シート!CO:DL,Q172,FALSE),0)</f>
        <v>61</v>
      </c>
      <c r="Q172" s="2">
        <v>11</v>
      </c>
    </row>
    <row r="173" spans="7:17" x14ac:dyDescent="0.15">
      <c r="G173" s="2" t="s">
        <v>8</v>
      </c>
      <c r="H173" s="17">
        <f>ROUND(VLOOKUP(H$163&amp;"_1",管理者用人口入力シート!BH:CE,J173,FALSE),0)</f>
        <v>61</v>
      </c>
      <c r="I173" s="17">
        <f>ROUND(VLOOKUP(H$163&amp;"_2",管理者用人口入力シート!BH:CE,J173,FALSE),0)</f>
        <v>76</v>
      </c>
      <c r="J173" s="2">
        <v>12</v>
      </c>
      <c r="N173" s="2" t="s">
        <v>8</v>
      </c>
      <c r="O173" s="17">
        <f>ROUND(VLOOKUP(O$163&amp;"_1",管理者用人口入力シート!CO:DL,Q173,FALSE),0)</f>
        <v>63</v>
      </c>
      <c r="P173" s="17">
        <f>ROUND(VLOOKUP(O$163&amp;"_2",管理者用人口入力シート!CO:DL,Q173,FALSE),0)</f>
        <v>79</v>
      </c>
      <c r="Q173" s="2">
        <v>12</v>
      </c>
    </row>
    <row r="174" spans="7:17" x14ac:dyDescent="0.15">
      <c r="G174" s="2" t="s">
        <v>9</v>
      </c>
      <c r="H174" s="17">
        <f>ROUND(VLOOKUP(H$163&amp;"_1",管理者用人口入力シート!BH:CE,J174,FALSE),0)</f>
        <v>96</v>
      </c>
      <c r="I174" s="17">
        <f>ROUND(VLOOKUP(H$163&amp;"_2",管理者用人口入力シート!BH:CE,J174,FALSE),0)</f>
        <v>86</v>
      </c>
      <c r="J174" s="2">
        <v>13</v>
      </c>
      <c r="N174" s="2" t="s">
        <v>9</v>
      </c>
      <c r="O174" s="17">
        <f>ROUND(VLOOKUP(O$163&amp;"_1",管理者用人口入力シート!CO:DL,Q174,FALSE),0)</f>
        <v>98</v>
      </c>
      <c r="P174" s="17">
        <f>ROUND(VLOOKUP(O$163&amp;"_2",管理者用人口入力シート!CO:DL,Q174,FALSE),0)</f>
        <v>90</v>
      </c>
      <c r="Q174" s="2">
        <v>13</v>
      </c>
    </row>
    <row r="175" spans="7:17" x14ac:dyDescent="0.15">
      <c r="G175" s="2" t="s">
        <v>10</v>
      </c>
      <c r="H175" s="17">
        <f>ROUND(VLOOKUP(H$163&amp;"_1",管理者用人口入力シート!BH:CE,J175,FALSE),0)</f>
        <v>94</v>
      </c>
      <c r="I175" s="17">
        <f>ROUND(VLOOKUP(H$163&amp;"_2",管理者用人口入力シート!BH:CE,J175,FALSE),0)</f>
        <v>107</v>
      </c>
      <c r="J175" s="2">
        <v>14</v>
      </c>
      <c r="N175" s="2" t="s">
        <v>10</v>
      </c>
      <c r="O175" s="17">
        <f>ROUND(VLOOKUP(O$163&amp;"_1",管理者用人口入力シート!CO:DL,Q175,FALSE),0)</f>
        <v>94</v>
      </c>
      <c r="P175" s="17">
        <f>ROUND(VLOOKUP(O$163&amp;"_2",管理者用人口入力シート!CO:DL,Q175,FALSE),0)</f>
        <v>109</v>
      </c>
      <c r="Q175" s="2">
        <v>14</v>
      </c>
    </row>
    <row r="176" spans="7:17" x14ac:dyDescent="0.15">
      <c r="G176" s="2" t="s">
        <v>11</v>
      </c>
      <c r="H176" s="17">
        <f>ROUND(VLOOKUP(H$163&amp;"_1",管理者用人口入力シート!BH:CE,J176,FALSE),0)</f>
        <v>105</v>
      </c>
      <c r="I176" s="17">
        <f>ROUND(VLOOKUP(H$163&amp;"_2",管理者用人口入力シート!BH:CE,J176,FALSE),0)</f>
        <v>95</v>
      </c>
      <c r="J176" s="2">
        <v>15</v>
      </c>
      <c r="N176" s="2" t="s">
        <v>11</v>
      </c>
      <c r="O176" s="17">
        <f>ROUND(VLOOKUP(O$163&amp;"_1",管理者用人口入力シート!CO:DL,Q176,FALSE),0)</f>
        <v>105</v>
      </c>
      <c r="P176" s="17">
        <f>ROUND(VLOOKUP(O$163&amp;"_2",管理者用人口入力シート!CO:DL,Q176,FALSE),0)</f>
        <v>96</v>
      </c>
      <c r="Q176" s="2">
        <v>15</v>
      </c>
    </row>
    <row r="177" spans="7:17" x14ac:dyDescent="0.15">
      <c r="G177" s="2" t="s">
        <v>12</v>
      </c>
      <c r="H177" s="17">
        <f>ROUND(VLOOKUP(H$163&amp;"_1",管理者用人口入力シート!BH:CE,J177,FALSE),0)</f>
        <v>110</v>
      </c>
      <c r="I177" s="17">
        <f>ROUND(VLOOKUP(H$163&amp;"_2",管理者用人口入力シート!BH:CE,J177,FALSE),0)</f>
        <v>108</v>
      </c>
      <c r="J177" s="2">
        <v>16</v>
      </c>
      <c r="N177" s="2" t="s">
        <v>12</v>
      </c>
      <c r="O177" s="17">
        <f>ROUND(VLOOKUP(O$163&amp;"_1",管理者用人口入力シート!CO:DL,Q177,FALSE),0)</f>
        <v>110</v>
      </c>
      <c r="P177" s="17">
        <f>ROUND(VLOOKUP(O$163&amp;"_2",管理者用人口入力シート!CO:DL,Q177,FALSE),0)</f>
        <v>109</v>
      </c>
      <c r="Q177" s="2">
        <v>16</v>
      </c>
    </row>
    <row r="178" spans="7:17" x14ac:dyDescent="0.15">
      <c r="G178" s="2" t="s">
        <v>13</v>
      </c>
      <c r="H178" s="17">
        <f>ROUND(VLOOKUP(H$163&amp;"_1",管理者用人口入力シート!BH:CE,J178,FALSE),0)</f>
        <v>117</v>
      </c>
      <c r="I178" s="17">
        <f>ROUND(VLOOKUP(H$163&amp;"_2",管理者用人口入力シート!BH:CE,J178,FALSE),0)</f>
        <v>126</v>
      </c>
      <c r="J178" s="2">
        <v>17</v>
      </c>
      <c r="N178" s="2" t="s">
        <v>13</v>
      </c>
      <c r="O178" s="17">
        <f>ROUND(VLOOKUP(O$163&amp;"_1",管理者用人口入力シート!CO:DL,Q178,FALSE),0)</f>
        <v>117</v>
      </c>
      <c r="P178" s="17">
        <f>ROUND(VLOOKUP(O$163&amp;"_2",管理者用人口入力シート!CO:DL,Q178,FALSE),0)</f>
        <v>126</v>
      </c>
      <c r="Q178" s="2">
        <v>17</v>
      </c>
    </row>
    <row r="179" spans="7:17" x14ac:dyDescent="0.15">
      <c r="G179" s="2" t="s">
        <v>14</v>
      </c>
      <c r="H179" s="17">
        <f>ROUND(VLOOKUP(H$163&amp;"_1",管理者用人口入力シート!BH:CE,J179,FALSE),0)</f>
        <v>112</v>
      </c>
      <c r="I179" s="17">
        <f>ROUND(VLOOKUP(H$163&amp;"_2",管理者用人口入力シート!BH:CE,J179,FALSE),0)</f>
        <v>135</v>
      </c>
      <c r="J179" s="2">
        <v>18</v>
      </c>
      <c r="N179" s="2" t="s">
        <v>14</v>
      </c>
      <c r="O179" s="17">
        <f>ROUND(VLOOKUP(O$163&amp;"_1",管理者用人口入力シート!CO:DL,Q179,FALSE),0)</f>
        <v>112</v>
      </c>
      <c r="P179" s="17">
        <f>ROUND(VLOOKUP(O$163&amp;"_2",管理者用人口入力シート!CO:DL,Q179,FALSE),0)</f>
        <v>135</v>
      </c>
      <c r="Q179" s="2">
        <v>18</v>
      </c>
    </row>
    <row r="180" spans="7:17" x14ac:dyDescent="0.15">
      <c r="G180" s="2" t="s">
        <v>15</v>
      </c>
      <c r="H180" s="17">
        <f>ROUND(VLOOKUP(H$163&amp;"_1",管理者用人口入力シート!BH:CE,J180,FALSE),0)</f>
        <v>87</v>
      </c>
      <c r="I180" s="17">
        <f>ROUND(VLOOKUP(H$163&amp;"_2",管理者用人口入力シート!BH:CE,J180,FALSE),0)</f>
        <v>125</v>
      </c>
      <c r="J180" s="2">
        <v>19</v>
      </c>
      <c r="N180" s="2" t="s">
        <v>15</v>
      </c>
      <c r="O180" s="17">
        <f>ROUND(VLOOKUP(O$163&amp;"_1",管理者用人口入力シート!CO:DL,Q180,FALSE),0)</f>
        <v>87</v>
      </c>
      <c r="P180" s="17">
        <f>ROUND(VLOOKUP(O$163&amp;"_2",管理者用人口入力シート!CO:DL,Q180,FALSE),0)</f>
        <v>125</v>
      </c>
      <c r="Q180" s="2">
        <v>19</v>
      </c>
    </row>
    <row r="181" spans="7:17" x14ac:dyDescent="0.15">
      <c r="G181" s="2" t="s">
        <v>16</v>
      </c>
      <c r="H181" s="17">
        <f>ROUND(VLOOKUP(H$163&amp;"_1",管理者用人口入力シート!BH:CE,J181,FALSE),0)</f>
        <v>76</v>
      </c>
      <c r="I181" s="17">
        <f>ROUND(VLOOKUP(H$163&amp;"_2",管理者用人口入力シート!BH:CE,J181,FALSE),0)</f>
        <v>94</v>
      </c>
      <c r="J181" s="2">
        <v>20</v>
      </c>
      <c r="N181" s="2" t="s">
        <v>16</v>
      </c>
      <c r="O181" s="17">
        <f>ROUND(VLOOKUP(O$163&amp;"_1",管理者用人口入力シート!CO:DL,Q181,FALSE),0)</f>
        <v>76</v>
      </c>
      <c r="P181" s="17">
        <f>ROUND(VLOOKUP(O$163&amp;"_2",管理者用人口入力シート!CO:DL,Q181,FALSE),0)</f>
        <v>94</v>
      </c>
      <c r="Q181" s="2">
        <v>20</v>
      </c>
    </row>
    <row r="182" spans="7:17" x14ac:dyDescent="0.15">
      <c r="G182" s="2" t="s">
        <v>17</v>
      </c>
      <c r="H182" s="17">
        <f>ROUND(VLOOKUP(H$163&amp;"_1",管理者用人口入力シート!BH:CE,J182,FALSE),0)</f>
        <v>62</v>
      </c>
      <c r="I182" s="17">
        <f>ROUND(VLOOKUP(H$163&amp;"_2",管理者用人口入力シート!BH:CE,J182,FALSE),0)</f>
        <v>102</v>
      </c>
      <c r="J182" s="2">
        <v>21</v>
      </c>
      <c r="N182" s="2" t="s">
        <v>17</v>
      </c>
      <c r="O182" s="17">
        <f>ROUND(VLOOKUP(O$163&amp;"_1",管理者用人口入力シート!CO:DL,Q182,FALSE),0)</f>
        <v>62</v>
      </c>
      <c r="P182" s="17">
        <f>ROUND(VLOOKUP(O$163&amp;"_2",管理者用人口入力シート!CO:DL,Q182,FALSE),0)</f>
        <v>102</v>
      </c>
      <c r="Q182" s="2">
        <v>21</v>
      </c>
    </row>
    <row r="183" spans="7:17" x14ac:dyDescent="0.15">
      <c r="G183" s="2" t="s">
        <v>18</v>
      </c>
      <c r="H183" s="17">
        <f>ROUND(VLOOKUP(H$163&amp;"_1",管理者用人口入力シート!BH:CE,J183,FALSE),0)</f>
        <v>30</v>
      </c>
      <c r="I183" s="17">
        <f>ROUND(VLOOKUP(H$163&amp;"_2",管理者用人口入力シート!BH:CE,J183,FALSE),0)</f>
        <v>82</v>
      </c>
      <c r="J183" s="2">
        <v>22</v>
      </c>
      <c r="N183" s="2" t="s">
        <v>18</v>
      </c>
      <c r="O183" s="17">
        <f>ROUND(VLOOKUP(O$163&amp;"_1",管理者用人口入力シート!CO:DL,Q183,FALSE),0)</f>
        <v>30</v>
      </c>
      <c r="P183" s="17">
        <f>ROUND(VLOOKUP(O$163&amp;"_2",管理者用人口入力シート!CO:DL,Q183,FALSE),0)</f>
        <v>82</v>
      </c>
      <c r="Q183" s="2">
        <v>22</v>
      </c>
    </row>
    <row r="184" spans="7:17" x14ac:dyDescent="0.15">
      <c r="G184" s="2" t="s">
        <v>19</v>
      </c>
      <c r="H184" s="17">
        <f>ROUND(VLOOKUP(H$163&amp;"_1",管理者用人口入力シート!BH:CE,J184,FALSE),0)</f>
        <v>13</v>
      </c>
      <c r="I184" s="17">
        <f>ROUND(VLOOKUP(H$163&amp;"_2",管理者用人口入力シート!BH:CE,J184,FALSE),0)</f>
        <v>43</v>
      </c>
      <c r="J184" s="2">
        <v>23</v>
      </c>
      <c r="N184" s="2" t="s">
        <v>19</v>
      </c>
      <c r="O184" s="17">
        <f>ROUND(VLOOKUP(O$163&amp;"_1",管理者用人口入力シート!CO:DL,Q184,FALSE),0)</f>
        <v>13</v>
      </c>
      <c r="P184" s="17">
        <f>ROUND(VLOOKUP(O$163&amp;"_2",管理者用人口入力シート!CO:DL,Q184,FALSE),0)</f>
        <v>43</v>
      </c>
      <c r="Q184" s="2">
        <v>23</v>
      </c>
    </row>
    <row r="185" spans="7:17" x14ac:dyDescent="0.15">
      <c r="G185" s="2" t="s">
        <v>20</v>
      </c>
      <c r="H185" s="17">
        <f>ROUND(VLOOKUP(H$163&amp;"_1",管理者用人口入力シート!BH:CE,J185,FALSE),0)</f>
        <v>3</v>
      </c>
      <c r="I185" s="17">
        <f>ROUND(VLOOKUP(H$163&amp;"_2",管理者用人口入力シート!BH:CE,J185,FALSE),0)</f>
        <v>6</v>
      </c>
      <c r="J185" s="2">
        <v>24</v>
      </c>
      <c r="N185" s="2" t="s">
        <v>20</v>
      </c>
      <c r="O185" s="17">
        <f>ROUND(VLOOKUP(O$163&amp;"_1",管理者用人口入力シート!CO:DL,Q185,FALSE),0)</f>
        <v>3</v>
      </c>
      <c r="P185" s="17">
        <f>ROUND(VLOOKUP(O$163&amp;"_2",管理者用人口入力シート!CO:DL,Q185,FALSE),0)</f>
        <v>6</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59</v>
      </c>
      <c r="I189" s="17">
        <f>ROUND(VLOOKUP(H$187&amp;"_2",管理者用人口入力シート!BH:CE,J189,FALSE),0)</f>
        <v>42</v>
      </c>
      <c r="J189" s="2">
        <v>4</v>
      </c>
      <c r="N189" s="2" t="s">
        <v>0</v>
      </c>
      <c r="O189" s="17">
        <f>ROUND(VLOOKUP(O$187&amp;"_1",管理者用人口入力シート!CO:DL,Q189,FALSE),0)</f>
        <v>63</v>
      </c>
      <c r="P189" s="17">
        <f>ROUND(VLOOKUP(O$187&amp;"_2",管理者用人口入力シート!CO:DL,Q189,FALSE),0)</f>
        <v>46</v>
      </c>
      <c r="Q189" s="2">
        <v>4</v>
      </c>
    </row>
    <row r="190" spans="7:17" x14ac:dyDescent="0.15">
      <c r="G190" s="2" t="s">
        <v>1</v>
      </c>
      <c r="H190" s="17">
        <f>ROUND(VLOOKUP(H$187&amp;"_1",管理者用人口入力シート!BH:CE,J190,FALSE),0)</f>
        <v>68</v>
      </c>
      <c r="I190" s="17">
        <f>ROUND(VLOOKUP(H$187&amp;"_2",管理者用人口入力シート!BH:CE,J190,FALSE),0)</f>
        <v>49</v>
      </c>
      <c r="J190" s="2">
        <v>5</v>
      </c>
      <c r="N190" s="2" t="s">
        <v>1</v>
      </c>
      <c r="O190" s="17">
        <f>ROUND(VLOOKUP(O$187&amp;"_1",管理者用人口入力シート!CO:DL,Q190,FALSE),0)</f>
        <v>72</v>
      </c>
      <c r="P190" s="17">
        <f>ROUND(VLOOKUP(O$187&amp;"_2",管理者用人口入力シート!CO:DL,Q190,FALSE),0)</f>
        <v>52</v>
      </c>
      <c r="Q190" s="2">
        <v>5</v>
      </c>
    </row>
    <row r="191" spans="7:17" x14ac:dyDescent="0.15">
      <c r="G191" s="2" t="s">
        <v>2</v>
      </c>
      <c r="H191" s="17">
        <f>ROUND(VLOOKUP(H$187&amp;"_1",管理者用人口入力シート!BH:CE,J191,FALSE),0)</f>
        <v>81</v>
      </c>
      <c r="I191" s="17">
        <f>ROUND(VLOOKUP(H$187&amp;"_2",管理者用人口入力シート!BH:CE,J191,FALSE),0)</f>
        <v>55</v>
      </c>
      <c r="J191" s="2">
        <v>6</v>
      </c>
      <c r="N191" s="2" t="s">
        <v>2</v>
      </c>
      <c r="O191" s="17">
        <f>ROUND(VLOOKUP(O$187&amp;"_1",管理者用人口入力シート!CO:DL,Q191,FALSE),0)</f>
        <v>86</v>
      </c>
      <c r="P191" s="17">
        <f>ROUND(VLOOKUP(O$187&amp;"_2",管理者用人口入力シート!CO:DL,Q191,FALSE),0)</f>
        <v>58</v>
      </c>
      <c r="Q191" s="2">
        <v>6</v>
      </c>
    </row>
    <row r="192" spans="7:17" x14ac:dyDescent="0.15">
      <c r="G192" s="2" t="s">
        <v>3</v>
      </c>
      <c r="H192" s="17">
        <f>ROUND(VLOOKUP(H$187&amp;"_1",管理者用人口入力シート!BH:CE,J192,FALSE),0)</f>
        <v>70</v>
      </c>
      <c r="I192" s="17">
        <f>ROUND(VLOOKUP(H$187&amp;"_2",管理者用人口入力シート!BH:CE,J192,FALSE),0)</f>
        <v>53</v>
      </c>
      <c r="J192" s="2">
        <v>7</v>
      </c>
      <c r="N192" s="2" t="s">
        <v>3</v>
      </c>
      <c r="O192" s="17">
        <f>ROUND(VLOOKUP(O$187&amp;"_1",管理者用人口入力シート!CO:DL,Q192,FALSE),0)</f>
        <v>74</v>
      </c>
      <c r="P192" s="17">
        <f>ROUND(VLOOKUP(O$187&amp;"_2",管理者用人口入力シート!CO:DL,Q192,FALSE),0)</f>
        <v>56</v>
      </c>
      <c r="Q192" s="2">
        <v>7</v>
      </c>
    </row>
    <row r="193" spans="7:17" x14ac:dyDescent="0.15">
      <c r="G193" s="2" t="s">
        <v>4</v>
      </c>
      <c r="H193" s="17">
        <f>ROUND(VLOOKUP(H$187&amp;"_1",管理者用人口入力シート!BH:CE,J193,FALSE),0)</f>
        <v>53</v>
      </c>
      <c r="I193" s="17">
        <f>ROUND(VLOOKUP(H$187&amp;"_2",管理者用人口入力シート!BH:CE,J193,FALSE),0)</f>
        <v>36</v>
      </c>
      <c r="J193" s="2">
        <v>8</v>
      </c>
      <c r="N193" s="2" t="s">
        <v>4</v>
      </c>
      <c r="O193" s="17">
        <f>ROUND(VLOOKUP(O$187&amp;"_1",管理者用人口入力シート!CO:DL,Q193,FALSE),0)</f>
        <v>55</v>
      </c>
      <c r="P193" s="17">
        <f>ROUND(VLOOKUP(O$187&amp;"_2",管理者用人口入力シート!CO:DL,Q193,FALSE),0)</f>
        <v>38</v>
      </c>
      <c r="Q193" s="2">
        <v>8</v>
      </c>
    </row>
    <row r="194" spans="7:17" x14ac:dyDescent="0.15">
      <c r="G194" s="2" t="s">
        <v>5</v>
      </c>
      <c r="H194" s="17">
        <f>ROUND(VLOOKUP(H$187&amp;"_1",管理者用人口入力シート!BH:CE,J194,FALSE),0)</f>
        <v>57</v>
      </c>
      <c r="I194" s="17">
        <f>ROUND(VLOOKUP(H$187&amp;"_2",管理者用人口入力シート!BH:CE,J194,FALSE),0)</f>
        <v>42</v>
      </c>
      <c r="J194" s="2">
        <v>9</v>
      </c>
      <c r="N194" s="2" t="s">
        <v>5</v>
      </c>
      <c r="O194" s="17">
        <f>ROUND(VLOOKUP(O$187&amp;"_1",管理者用人口入力シート!CO:DL,Q194,FALSE),0)</f>
        <v>60</v>
      </c>
      <c r="P194" s="17">
        <f>ROUND(VLOOKUP(O$187&amp;"_2",管理者用人口入力シート!CO:DL,Q194,FALSE),0)</f>
        <v>45</v>
      </c>
      <c r="Q194" s="2">
        <v>9</v>
      </c>
    </row>
    <row r="195" spans="7:17" x14ac:dyDescent="0.15">
      <c r="G195" s="2" t="s">
        <v>6</v>
      </c>
      <c r="H195" s="17">
        <f>ROUND(VLOOKUP(H$187&amp;"_1",管理者用人口入力シート!BH:CE,J195,FALSE),0)</f>
        <v>66</v>
      </c>
      <c r="I195" s="17">
        <f>ROUND(VLOOKUP(H$187&amp;"_2",管理者用人口入力シート!BH:CE,J195,FALSE),0)</f>
        <v>47</v>
      </c>
      <c r="J195" s="2">
        <v>10</v>
      </c>
      <c r="N195" s="2" t="s">
        <v>6</v>
      </c>
      <c r="O195" s="17">
        <f>ROUND(VLOOKUP(O$187&amp;"_1",管理者用人口入力シート!CO:DL,Q195,FALSE),0)</f>
        <v>69</v>
      </c>
      <c r="P195" s="17">
        <f>ROUND(VLOOKUP(O$187&amp;"_2",管理者用人口入力シート!CO:DL,Q195,FALSE),0)</f>
        <v>50</v>
      </c>
      <c r="Q195" s="2">
        <v>10</v>
      </c>
    </row>
    <row r="196" spans="7:17" x14ac:dyDescent="0.15">
      <c r="G196" s="2" t="s">
        <v>7</v>
      </c>
      <c r="H196" s="17">
        <f>ROUND(VLOOKUP(H$187&amp;"_1",管理者用人口入力シート!BH:CE,J196,FALSE),0)</f>
        <v>53</v>
      </c>
      <c r="I196" s="17">
        <f>ROUND(VLOOKUP(H$187&amp;"_2",管理者用人口入力シート!BH:CE,J196,FALSE),0)</f>
        <v>66</v>
      </c>
      <c r="J196" s="2">
        <v>11</v>
      </c>
      <c r="N196" s="2" t="s">
        <v>7</v>
      </c>
      <c r="O196" s="17">
        <f>ROUND(VLOOKUP(O$187&amp;"_1",管理者用人口入力シート!CO:DL,Q196,FALSE),0)</f>
        <v>56</v>
      </c>
      <c r="P196" s="17">
        <f>ROUND(VLOOKUP(O$187&amp;"_2",管理者用人口入力シート!CO:DL,Q196,FALSE),0)</f>
        <v>69</v>
      </c>
      <c r="Q196" s="2">
        <v>11</v>
      </c>
    </row>
    <row r="197" spans="7:17" x14ac:dyDescent="0.15">
      <c r="G197" s="2" t="s">
        <v>8</v>
      </c>
      <c r="H197" s="17">
        <f>ROUND(VLOOKUP(H$187&amp;"_1",管理者用人口入力シート!BH:CE,J197,FALSE),0)</f>
        <v>59</v>
      </c>
      <c r="I197" s="17">
        <f>ROUND(VLOOKUP(H$187&amp;"_2",管理者用人口入力シート!BH:CE,J197,FALSE),0)</f>
        <v>57</v>
      </c>
      <c r="J197" s="2">
        <v>12</v>
      </c>
      <c r="N197" s="2" t="s">
        <v>8</v>
      </c>
      <c r="O197" s="17">
        <f>ROUND(VLOOKUP(O$187&amp;"_1",管理者用人口入力シート!CO:DL,Q197,FALSE),0)</f>
        <v>61</v>
      </c>
      <c r="P197" s="17">
        <f>ROUND(VLOOKUP(O$187&amp;"_2",管理者用人口入力シート!CO:DL,Q197,FALSE),0)</f>
        <v>60</v>
      </c>
      <c r="Q197" s="2">
        <v>12</v>
      </c>
    </row>
    <row r="198" spans="7:17" x14ac:dyDescent="0.15">
      <c r="G198" s="2" t="s">
        <v>9</v>
      </c>
      <c r="H198" s="17">
        <f>ROUND(VLOOKUP(H$187&amp;"_1",管理者用人口入力シート!BH:CE,J198,FALSE),0)</f>
        <v>66</v>
      </c>
      <c r="I198" s="17">
        <f>ROUND(VLOOKUP(H$187&amp;"_2",管理者用人口入力シート!BH:CE,J198,FALSE),0)</f>
        <v>84</v>
      </c>
      <c r="J198" s="2">
        <v>13</v>
      </c>
      <c r="N198" s="2" t="s">
        <v>9</v>
      </c>
      <c r="O198" s="17">
        <f>ROUND(VLOOKUP(O$187&amp;"_1",管理者用人口入力シート!CO:DL,Q198,FALSE),0)</f>
        <v>68</v>
      </c>
      <c r="P198" s="17">
        <f>ROUND(VLOOKUP(O$187&amp;"_2",管理者用人口入力シート!CO:DL,Q198,FALSE),0)</f>
        <v>88</v>
      </c>
      <c r="Q198" s="2">
        <v>13</v>
      </c>
    </row>
    <row r="199" spans="7:17" x14ac:dyDescent="0.15">
      <c r="G199" s="2" t="s">
        <v>10</v>
      </c>
      <c r="H199" s="17">
        <f>ROUND(VLOOKUP(H$187&amp;"_1",管理者用人口入力シート!BH:CE,J199,FALSE),0)</f>
        <v>97</v>
      </c>
      <c r="I199" s="17">
        <f>ROUND(VLOOKUP(H$187&amp;"_2",管理者用人口入力シート!BH:CE,J199,FALSE),0)</f>
        <v>87</v>
      </c>
      <c r="J199" s="2">
        <v>14</v>
      </c>
      <c r="N199" s="2" t="s">
        <v>10</v>
      </c>
      <c r="O199" s="17">
        <f>ROUND(VLOOKUP(O$187&amp;"_1",管理者用人口入力シート!CO:DL,Q199,FALSE),0)</f>
        <v>99</v>
      </c>
      <c r="P199" s="17">
        <f>ROUND(VLOOKUP(O$187&amp;"_2",管理者用人口入力シート!CO:DL,Q199,FALSE),0)</f>
        <v>91</v>
      </c>
      <c r="Q199" s="2">
        <v>14</v>
      </c>
    </row>
    <row r="200" spans="7:17" x14ac:dyDescent="0.15">
      <c r="G200" s="2" t="s">
        <v>11</v>
      </c>
      <c r="H200" s="17">
        <f>ROUND(VLOOKUP(H$187&amp;"_1",管理者用人口入力シート!BH:CE,J200,FALSE),0)</f>
        <v>90</v>
      </c>
      <c r="I200" s="17">
        <f>ROUND(VLOOKUP(H$187&amp;"_2",管理者用人口入力シート!BH:CE,J200,FALSE),0)</f>
        <v>103</v>
      </c>
      <c r="J200" s="2">
        <v>15</v>
      </c>
      <c r="N200" s="2" t="s">
        <v>11</v>
      </c>
      <c r="O200" s="17">
        <f>ROUND(VLOOKUP(O$187&amp;"_1",管理者用人口入力シート!CO:DL,Q200,FALSE),0)</f>
        <v>90</v>
      </c>
      <c r="P200" s="17">
        <f>ROUND(VLOOKUP(O$187&amp;"_2",管理者用人口入力シート!CO:DL,Q200,FALSE),0)</f>
        <v>105</v>
      </c>
      <c r="Q200" s="2">
        <v>15</v>
      </c>
    </row>
    <row r="201" spans="7:17" x14ac:dyDescent="0.15">
      <c r="G201" s="2" t="s">
        <v>12</v>
      </c>
      <c r="H201" s="17">
        <f>ROUND(VLOOKUP(H$187&amp;"_1",管理者用人口入力シート!BH:CE,J201,FALSE),0)</f>
        <v>100</v>
      </c>
      <c r="I201" s="17">
        <f>ROUND(VLOOKUP(H$187&amp;"_2",管理者用人口入力シート!BH:CE,J201,FALSE),0)</f>
        <v>97</v>
      </c>
      <c r="J201" s="2">
        <v>16</v>
      </c>
      <c r="N201" s="2" t="s">
        <v>12</v>
      </c>
      <c r="O201" s="17">
        <f>ROUND(VLOOKUP(O$187&amp;"_1",管理者用人口入力シート!CO:DL,Q201,FALSE),0)</f>
        <v>100</v>
      </c>
      <c r="P201" s="17">
        <f>ROUND(VLOOKUP(O$187&amp;"_2",管理者用人口入力シート!CO:DL,Q201,FALSE),0)</f>
        <v>98</v>
      </c>
      <c r="Q201" s="2">
        <v>16</v>
      </c>
    </row>
    <row r="202" spans="7:17" x14ac:dyDescent="0.15">
      <c r="G202" s="2" t="s">
        <v>13</v>
      </c>
      <c r="H202" s="17">
        <f>ROUND(VLOOKUP(H$187&amp;"_1",管理者用人口入力シート!BH:CE,J202,FALSE),0)</f>
        <v>110</v>
      </c>
      <c r="I202" s="17">
        <f>ROUND(VLOOKUP(H$187&amp;"_2",管理者用人口入力シート!BH:CE,J202,FALSE),0)</f>
        <v>107</v>
      </c>
      <c r="J202" s="2">
        <v>17</v>
      </c>
      <c r="N202" s="2" t="s">
        <v>13</v>
      </c>
      <c r="O202" s="17">
        <f>ROUND(VLOOKUP(O$187&amp;"_1",管理者用人口入力シート!CO:DL,Q202,FALSE),0)</f>
        <v>110</v>
      </c>
      <c r="P202" s="17">
        <f>ROUND(VLOOKUP(O$187&amp;"_2",管理者用人口入力シート!CO:DL,Q202,FALSE),0)</f>
        <v>109</v>
      </c>
      <c r="Q202" s="2">
        <v>17</v>
      </c>
    </row>
    <row r="203" spans="7:17" x14ac:dyDescent="0.15">
      <c r="G203" s="2" t="s">
        <v>14</v>
      </c>
      <c r="H203" s="17">
        <f>ROUND(VLOOKUP(H$187&amp;"_1",管理者用人口入力シート!BH:CE,J203,FALSE),0)</f>
        <v>106</v>
      </c>
      <c r="I203" s="17">
        <f>ROUND(VLOOKUP(H$187&amp;"_2",管理者用人口入力シート!BH:CE,J203,FALSE),0)</f>
        <v>122</v>
      </c>
      <c r="J203" s="2">
        <v>18</v>
      </c>
      <c r="N203" s="2" t="s">
        <v>14</v>
      </c>
      <c r="O203" s="17">
        <f>ROUND(VLOOKUP(O$187&amp;"_1",管理者用人口入力シート!CO:DL,Q203,FALSE),0)</f>
        <v>106</v>
      </c>
      <c r="P203" s="17">
        <f>ROUND(VLOOKUP(O$187&amp;"_2",管理者用人口入力シート!CO:DL,Q203,FALSE),0)</f>
        <v>122</v>
      </c>
      <c r="Q203" s="2">
        <v>18</v>
      </c>
    </row>
    <row r="204" spans="7:17" x14ac:dyDescent="0.15">
      <c r="G204" s="2" t="s">
        <v>15</v>
      </c>
      <c r="H204" s="17">
        <f>ROUND(VLOOKUP(H$187&amp;"_1",管理者用人口入力シート!BH:CE,J204,FALSE),0)</f>
        <v>98</v>
      </c>
      <c r="I204" s="17">
        <f>ROUND(VLOOKUP(H$187&amp;"_2",管理者用人口入力シート!BH:CE,J204,FALSE),0)</f>
        <v>128</v>
      </c>
      <c r="J204" s="2">
        <v>19</v>
      </c>
      <c r="N204" s="2" t="s">
        <v>15</v>
      </c>
      <c r="O204" s="17">
        <f>ROUND(VLOOKUP(O$187&amp;"_1",管理者用人口入力シート!CO:DL,Q204,FALSE),0)</f>
        <v>98</v>
      </c>
      <c r="P204" s="17">
        <f>ROUND(VLOOKUP(O$187&amp;"_2",管理者用人口入力シート!CO:DL,Q204,FALSE),0)</f>
        <v>128</v>
      </c>
      <c r="Q204" s="2">
        <v>19</v>
      </c>
    </row>
    <row r="205" spans="7:17" x14ac:dyDescent="0.15">
      <c r="G205" s="2" t="s">
        <v>16</v>
      </c>
      <c r="H205" s="17">
        <f>ROUND(VLOOKUP(H$187&amp;"_1",管理者用人口入力シート!BH:CE,J205,FALSE),0)</f>
        <v>72</v>
      </c>
      <c r="I205" s="17">
        <f>ROUND(VLOOKUP(H$187&amp;"_2",管理者用人口入力シート!BH:CE,J205,FALSE),0)</f>
        <v>111</v>
      </c>
      <c r="J205" s="2">
        <v>20</v>
      </c>
      <c r="N205" s="2" t="s">
        <v>16</v>
      </c>
      <c r="O205" s="17">
        <f>ROUND(VLOOKUP(O$187&amp;"_1",管理者用人口入力シート!CO:DL,Q205,FALSE),0)</f>
        <v>72</v>
      </c>
      <c r="P205" s="17">
        <f>ROUND(VLOOKUP(O$187&amp;"_2",管理者用人口入力シート!CO:DL,Q205,FALSE),0)</f>
        <v>111</v>
      </c>
      <c r="Q205" s="2">
        <v>20</v>
      </c>
    </row>
    <row r="206" spans="7:17" x14ac:dyDescent="0.15">
      <c r="G206" s="2" t="s">
        <v>17</v>
      </c>
      <c r="H206" s="17">
        <f>ROUND(VLOOKUP(H$187&amp;"_1",管理者用人口入力シート!BH:CE,J206,FALSE),0)</f>
        <v>46</v>
      </c>
      <c r="I206" s="17">
        <f>ROUND(VLOOKUP(H$187&amp;"_2",管理者用人口入力シート!BH:CE,J206,FALSE),0)</f>
        <v>77</v>
      </c>
      <c r="J206" s="2">
        <v>21</v>
      </c>
      <c r="N206" s="2" t="s">
        <v>17</v>
      </c>
      <c r="O206" s="17">
        <f>ROUND(VLOOKUP(O$187&amp;"_1",管理者用人口入力シート!CO:DL,Q206,FALSE),0)</f>
        <v>46</v>
      </c>
      <c r="P206" s="17">
        <f>ROUND(VLOOKUP(O$187&amp;"_2",管理者用人口入力シート!CO:DL,Q206,FALSE),0)</f>
        <v>77</v>
      </c>
      <c r="Q206" s="2">
        <v>21</v>
      </c>
    </row>
    <row r="207" spans="7:17" x14ac:dyDescent="0.15">
      <c r="G207" s="2" t="s">
        <v>18</v>
      </c>
      <c r="H207" s="17">
        <f>ROUND(VLOOKUP(H$187&amp;"_1",管理者用人口入力シート!BH:CE,J207,FALSE),0)</f>
        <v>25</v>
      </c>
      <c r="I207" s="17">
        <f>ROUND(VLOOKUP(H$187&amp;"_2",管理者用人口入力シート!BH:CE,J207,FALSE),0)</f>
        <v>60</v>
      </c>
      <c r="J207" s="2">
        <v>22</v>
      </c>
      <c r="N207" s="2" t="s">
        <v>18</v>
      </c>
      <c r="O207" s="17">
        <f>ROUND(VLOOKUP(O$187&amp;"_1",管理者用人口入力シート!CO:DL,Q207,FALSE),0)</f>
        <v>25</v>
      </c>
      <c r="P207" s="17">
        <f>ROUND(VLOOKUP(O$187&amp;"_2",管理者用人口入力シート!CO:DL,Q207,FALSE),0)</f>
        <v>60</v>
      </c>
      <c r="Q207" s="2">
        <v>22</v>
      </c>
    </row>
    <row r="208" spans="7:17" x14ac:dyDescent="0.15">
      <c r="G208" s="2" t="s">
        <v>19</v>
      </c>
      <c r="H208" s="17">
        <f>ROUND(VLOOKUP(H$187&amp;"_1",管理者用人口入力シート!BH:CE,J208,FALSE),0)</f>
        <v>12</v>
      </c>
      <c r="I208" s="17">
        <f>ROUND(VLOOKUP(H$187&amp;"_2",管理者用人口入力シート!BH:CE,J208,FALSE),0)</f>
        <v>37</v>
      </c>
      <c r="J208" s="2">
        <v>23</v>
      </c>
      <c r="N208" s="2" t="s">
        <v>19</v>
      </c>
      <c r="O208" s="17">
        <f>ROUND(VLOOKUP(O$187&amp;"_1",管理者用人口入力シート!CO:DL,Q208,FALSE),0)</f>
        <v>12</v>
      </c>
      <c r="P208" s="17">
        <f>ROUND(VLOOKUP(O$187&amp;"_2",管理者用人口入力シート!CO:DL,Q208,FALSE),0)</f>
        <v>37</v>
      </c>
      <c r="Q208" s="2">
        <v>23</v>
      </c>
    </row>
    <row r="209" spans="7:17" x14ac:dyDescent="0.15">
      <c r="G209" s="2" t="s">
        <v>20</v>
      </c>
      <c r="H209" s="17">
        <f>ROUND(VLOOKUP(H$187&amp;"_1",管理者用人口入力シート!BH:CE,J209,FALSE),0)</f>
        <v>3</v>
      </c>
      <c r="I209" s="17">
        <f>ROUND(VLOOKUP(H$187&amp;"_2",管理者用人口入力シート!BH:CE,J209,FALSE),0)</f>
        <v>9</v>
      </c>
      <c r="J209" s="2">
        <v>24</v>
      </c>
      <c r="N209" s="2" t="s">
        <v>20</v>
      </c>
      <c r="O209" s="17">
        <f>ROUND(VLOOKUP(O$187&amp;"_1",管理者用人口入力シート!CO:DL,Q209,FALSE),0)</f>
        <v>3</v>
      </c>
      <c r="P209" s="17">
        <f>ROUND(VLOOKUP(O$187&amp;"_2",管理者用人口入力シート!CO:DL,Q209,FALSE),0)</f>
        <v>9</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150</v>
      </c>
      <c r="P214" s="17">
        <f>O93+P93</f>
        <v>154</v>
      </c>
      <c r="Q214" s="2">
        <v>4</v>
      </c>
    </row>
    <row r="215" spans="7:17" x14ac:dyDescent="0.15">
      <c r="N215" s="2" t="s">
        <v>1</v>
      </c>
      <c r="O215" s="17">
        <f t="shared" ref="O215:O233" si="37">H94+I94</f>
        <v>179</v>
      </c>
      <c r="P215" s="17">
        <f t="shared" ref="P215:P233" si="38">O94+P94</f>
        <v>181</v>
      </c>
      <c r="Q215" s="2">
        <v>5</v>
      </c>
    </row>
    <row r="216" spans="7:17" x14ac:dyDescent="0.15">
      <c r="N216" s="2" t="s">
        <v>2</v>
      </c>
      <c r="O216" s="17">
        <f t="shared" si="37"/>
        <v>196</v>
      </c>
      <c r="P216" s="17">
        <f t="shared" si="38"/>
        <v>198</v>
      </c>
      <c r="Q216" s="2">
        <v>6</v>
      </c>
    </row>
    <row r="217" spans="7:17" x14ac:dyDescent="0.15">
      <c r="N217" s="2" t="s">
        <v>3</v>
      </c>
      <c r="O217" s="17">
        <f t="shared" si="37"/>
        <v>159</v>
      </c>
      <c r="P217" s="17">
        <f t="shared" si="38"/>
        <v>160</v>
      </c>
      <c r="Q217" s="2">
        <v>7</v>
      </c>
    </row>
    <row r="218" spans="7:17" x14ac:dyDescent="0.15">
      <c r="N218" s="2" t="s">
        <v>4</v>
      </c>
      <c r="O218" s="17">
        <f t="shared" si="37"/>
        <v>99</v>
      </c>
      <c r="P218" s="17">
        <f t="shared" si="38"/>
        <v>99</v>
      </c>
      <c r="Q218" s="2">
        <v>8</v>
      </c>
    </row>
    <row r="219" spans="7:17" x14ac:dyDescent="0.15">
      <c r="N219" s="2" t="s">
        <v>5</v>
      </c>
      <c r="O219" s="17">
        <f t="shared" si="37"/>
        <v>121</v>
      </c>
      <c r="P219" s="17">
        <f t="shared" si="38"/>
        <v>125</v>
      </c>
      <c r="Q219" s="2">
        <v>9</v>
      </c>
    </row>
    <row r="220" spans="7:17" x14ac:dyDescent="0.15">
      <c r="N220" s="2" t="s">
        <v>6</v>
      </c>
      <c r="O220" s="17">
        <f t="shared" si="37"/>
        <v>158</v>
      </c>
      <c r="P220" s="17">
        <f t="shared" si="38"/>
        <v>162</v>
      </c>
      <c r="Q220" s="2">
        <v>10</v>
      </c>
    </row>
    <row r="221" spans="7:17" x14ac:dyDescent="0.15">
      <c r="N221" s="2" t="s">
        <v>7</v>
      </c>
      <c r="O221" s="17">
        <f t="shared" si="37"/>
        <v>183</v>
      </c>
      <c r="P221" s="17">
        <f t="shared" si="38"/>
        <v>183</v>
      </c>
      <c r="Q221" s="2">
        <v>11</v>
      </c>
    </row>
    <row r="222" spans="7:17" x14ac:dyDescent="0.15">
      <c r="N222" s="2" t="s">
        <v>8</v>
      </c>
      <c r="O222" s="17">
        <f t="shared" si="37"/>
        <v>190</v>
      </c>
      <c r="P222" s="17">
        <f t="shared" si="38"/>
        <v>191</v>
      </c>
      <c r="Q222" s="2">
        <v>12</v>
      </c>
    </row>
    <row r="223" spans="7:17" x14ac:dyDescent="0.15">
      <c r="N223" s="2" t="s">
        <v>9</v>
      </c>
      <c r="O223" s="17">
        <f t="shared" si="37"/>
        <v>227</v>
      </c>
      <c r="P223" s="17">
        <f t="shared" si="38"/>
        <v>229</v>
      </c>
      <c r="Q223" s="2">
        <v>13</v>
      </c>
    </row>
    <row r="224" spans="7:17" x14ac:dyDescent="0.15">
      <c r="N224" s="2" t="s">
        <v>10</v>
      </c>
      <c r="O224" s="17">
        <f t="shared" si="37"/>
        <v>257</v>
      </c>
      <c r="P224" s="17">
        <f t="shared" si="38"/>
        <v>257</v>
      </c>
      <c r="Q224" s="2">
        <v>14</v>
      </c>
    </row>
    <row r="225" spans="14:17" x14ac:dyDescent="0.15">
      <c r="N225" s="2" t="s">
        <v>11</v>
      </c>
      <c r="O225" s="17">
        <f t="shared" si="37"/>
        <v>267</v>
      </c>
      <c r="P225" s="17">
        <f t="shared" si="38"/>
        <v>267</v>
      </c>
      <c r="Q225" s="2">
        <v>15</v>
      </c>
    </row>
    <row r="226" spans="14:17" x14ac:dyDescent="0.15">
      <c r="N226" s="2" t="s">
        <v>12</v>
      </c>
      <c r="O226" s="17">
        <f t="shared" si="37"/>
        <v>247</v>
      </c>
      <c r="P226" s="17">
        <f t="shared" si="38"/>
        <v>247</v>
      </c>
      <c r="Q226" s="2">
        <v>16</v>
      </c>
    </row>
    <row r="227" spans="14:17" x14ac:dyDescent="0.15">
      <c r="N227" s="2" t="s">
        <v>13</v>
      </c>
      <c r="O227" s="17">
        <f t="shared" si="37"/>
        <v>231</v>
      </c>
      <c r="P227" s="17">
        <f t="shared" si="38"/>
        <v>231</v>
      </c>
      <c r="Q227" s="2">
        <v>17</v>
      </c>
    </row>
    <row r="228" spans="14:17" x14ac:dyDescent="0.15">
      <c r="N228" s="2" t="s">
        <v>14</v>
      </c>
      <c r="O228" s="17">
        <f t="shared" si="37"/>
        <v>289</v>
      </c>
      <c r="P228" s="17">
        <f t="shared" si="38"/>
        <v>289</v>
      </c>
      <c r="Q228" s="2">
        <v>18</v>
      </c>
    </row>
    <row r="229" spans="14:17" x14ac:dyDescent="0.15">
      <c r="N229" s="2" t="s">
        <v>15</v>
      </c>
      <c r="O229" s="17">
        <f t="shared" si="37"/>
        <v>334</v>
      </c>
      <c r="P229" s="17">
        <f t="shared" si="38"/>
        <v>334</v>
      </c>
      <c r="Q229" s="2">
        <v>19</v>
      </c>
    </row>
    <row r="230" spans="14:17" x14ac:dyDescent="0.15">
      <c r="N230" s="2" t="s">
        <v>16</v>
      </c>
      <c r="O230" s="17">
        <f t="shared" si="37"/>
        <v>328</v>
      </c>
      <c r="P230" s="17">
        <f t="shared" si="38"/>
        <v>328</v>
      </c>
      <c r="Q230" s="2">
        <v>20</v>
      </c>
    </row>
    <row r="231" spans="14:17" x14ac:dyDescent="0.15">
      <c r="N231" s="2" t="s">
        <v>17</v>
      </c>
      <c r="O231" s="17">
        <f t="shared" si="37"/>
        <v>193</v>
      </c>
      <c r="P231" s="17">
        <f t="shared" si="38"/>
        <v>193</v>
      </c>
      <c r="Q231" s="2">
        <v>21</v>
      </c>
    </row>
    <row r="232" spans="14:17" x14ac:dyDescent="0.15">
      <c r="N232" s="2" t="s">
        <v>18</v>
      </c>
      <c r="O232" s="17">
        <f t="shared" si="37"/>
        <v>102</v>
      </c>
      <c r="P232" s="17">
        <f t="shared" si="38"/>
        <v>102</v>
      </c>
      <c r="Q232" s="2">
        <v>22</v>
      </c>
    </row>
    <row r="233" spans="14:17" x14ac:dyDescent="0.15">
      <c r="N233" s="2" t="s">
        <v>19</v>
      </c>
      <c r="O233" s="17">
        <f t="shared" si="37"/>
        <v>54</v>
      </c>
      <c r="P233" s="17">
        <f t="shared" si="38"/>
        <v>54</v>
      </c>
      <c r="Q233" s="2">
        <v>23</v>
      </c>
    </row>
    <row r="234" spans="14:17" x14ac:dyDescent="0.15">
      <c r="N234" s="2" t="s">
        <v>20</v>
      </c>
      <c r="O234" s="17">
        <f>H113+I113</f>
        <v>10</v>
      </c>
      <c r="P234" s="17">
        <f>O113+P113</f>
        <v>10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121</v>
      </c>
      <c r="P238" s="17">
        <f>O141+P141</f>
        <v>126</v>
      </c>
      <c r="Q238" s="2">
        <v>4</v>
      </c>
    </row>
    <row r="239" spans="14:17" x14ac:dyDescent="0.15">
      <c r="N239" s="2" t="s">
        <v>1</v>
      </c>
      <c r="O239" s="17">
        <f t="shared" ref="O239:O257" si="39">H142+I142</f>
        <v>146</v>
      </c>
      <c r="P239" s="17">
        <f t="shared" ref="P239:P257" si="40">O142+P142</f>
        <v>153</v>
      </c>
      <c r="Q239" s="2">
        <v>5</v>
      </c>
    </row>
    <row r="240" spans="14:17" x14ac:dyDescent="0.15">
      <c r="N240" s="2" t="s">
        <v>2</v>
      </c>
      <c r="O240" s="17">
        <f t="shared" si="39"/>
        <v>168</v>
      </c>
      <c r="P240" s="17">
        <f t="shared" si="40"/>
        <v>175</v>
      </c>
      <c r="Q240" s="2">
        <v>6</v>
      </c>
    </row>
    <row r="241" spans="14:17" x14ac:dyDescent="0.15">
      <c r="N241" s="2" t="s">
        <v>3</v>
      </c>
      <c r="O241" s="17">
        <f t="shared" si="39"/>
        <v>151</v>
      </c>
      <c r="P241" s="17">
        <f t="shared" si="40"/>
        <v>153</v>
      </c>
      <c r="Q241" s="2">
        <v>7</v>
      </c>
    </row>
    <row r="242" spans="14:17" x14ac:dyDescent="0.15">
      <c r="N242" s="2" t="s">
        <v>4</v>
      </c>
      <c r="O242" s="17">
        <f t="shared" si="39"/>
        <v>104</v>
      </c>
      <c r="P242" s="17">
        <f t="shared" si="40"/>
        <v>105</v>
      </c>
      <c r="Q242" s="2">
        <v>8</v>
      </c>
    </row>
    <row r="243" spans="14:17" x14ac:dyDescent="0.15">
      <c r="N243" s="2" t="s">
        <v>5</v>
      </c>
      <c r="O243" s="17">
        <f t="shared" si="39"/>
        <v>105</v>
      </c>
      <c r="P243" s="17">
        <f t="shared" si="40"/>
        <v>109</v>
      </c>
      <c r="Q243" s="2">
        <v>9</v>
      </c>
    </row>
    <row r="244" spans="14:17" x14ac:dyDescent="0.15">
      <c r="N244" s="2" t="s">
        <v>6</v>
      </c>
      <c r="O244" s="17">
        <f t="shared" si="39"/>
        <v>109</v>
      </c>
      <c r="P244" s="17">
        <f t="shared" si="40"/>
        <v>113</v>
      </c>
      <c r="Q244" s="2">
        <v>10</v>
      </c>
    </row>
    <row r="245" spans="14:17" x14ac:dyDescent="0.15">
      <c r="N245" s="2" t="s">
        <v>7</v>
      </c>
      <c r="O245" s="17">
        <f t="shared" si="39"/>
        <v>137</v>
      </c>
      <c r="P245" s="17">
        <f t="shared" si="40"/>
        <v>143</v>
      </c>
      <c r="Q245" s="2">
        <v>11</v>
      </c>
    </row>
    <row r="246" spans="14:17" x14ac:dyDescent="0.15">
      <c r="N246" s="2" t="s">
        <v>8</v>
      </c>
      <c r="O246" s="17">
        <f t="shared" si="39"/>
        <v>167</v>
      </c>
      <c r="P246" s="17">
        <f t="shared" si="40"/>
        <v>172</v>
      </c>
      <c r="Q246" s="2">
        <v>12</v>
      </c>
    </row>
    <row r="247" spans="14:17" x14ac:dyDescent="0.15">
      <c r="N247" s="2" t="s">
        <v>9</v>
      </c>
      <c r="O247" s="17">
        <f t="shared" si="39"/>
        <v>199</v>
      </c>
      <c r="P247" s="17">
        <f t="shared" si="40"/>
        <v>200</v>
      </c>
      <c r="Q247" s="2">
        <v>13</v>
      </c>
    </row>
    <row r="248" spans="14:17" x14ac:dyDescent="0.15">
      <c r="N248" s="2" t="s">
        <v>10</v>
      </c>
      <c r="O248" s="17">
        <f t="shared" si="39"/>
        <v>209</v>
      </c>
      <c r="P248" s="17">
        <f t="shared" si="40"/>
        <v>210</v>
      </c>
      <c r="Q248" s="2">
        <v>14</v>
      </c>
    </row>
    <row r="249" spans="14:17" x14ac:dyDescent="0.15">
      <c r="N249" s="2" t="s">
        <v>11</v>
      </c>
      <c r="O249" s="17">
        <f t="shared" si="39"/>
        <v>221</v>
      </c>
      <c r="P249" s="17">
        <f t="shared" si="40"/>
        <v>222</v>
      </c>
      <c r="Q249" s="2">
        <v>15</v>
      </c>
    </row>
    <row r="250" spans="14:17" x14ac:dyDescent="0.15">
      <c r="N250" s="2" t="s">
        <v>12</v>
      </c>
      <c r="O250" s="17">
        <f t="shared" si="39"/>
        <v>243</v>
      </c>
      <c r="P250" s="17">
        <f t="shared" si="40"/>
        <v>243</v>
      </c>
      <c r="Q250" s="2">
        <v>16</v>
      </c>
    </row>
    <row r="251" spans="14:17" x14ac:dyDescent="0.15">
      <c r="N251" s="2" t="s">
        <v>13</v>
      </c>
      <c r="O251" s="17">
        <f t="shared" si="39"/>
        <v>263</v>
      </c>
      <c r="P251" s="17">
        <f t="shared" si="40"/>
        <v>263</v>
      </c>
      <c r="Q251" s="2">
        <v>17</v>
      </c>
    </row>
    <row r="252" spans="14:17" x14ac:dyDescent="0.15">
      <c r="N252" s="2" t="s">
        <v>14</v>
      </c>
      <c r="O252" s="17">
        <f t="shared" si="39"/>
        <v>232</v>
      </c>
      <c r="P252" s="17">
        <f t="shared" si="40"/>
        <v>232</v>
      </c>
      <c r="Q252" s="2">
        <v>18</v>
      </c>
    </row>
    <row r="253" spans="14:17" x14ac:dyDescent="0.15">
      <c r="N253" s="2" t="s">
        <v>15</v>
      </c>
      <c r="O253" s="17">
        <f t="shared" si="39"/>
        <v>197</v>
      </c>
      <c r="P253" s="17">
        <f t="shared" si="40"/>
        <v>197</v>
      </c>
      <c r="Q253" s="2">
        <v>19</v>
      </c>
    </row>
    <row r="254" spans="14:17" x14ac:dyDescent="0.15">
      <c r="N254" s="2" t="s">
        <v>16</v>
      </c>
      <c r="O254" s="17">
        <f t="shared" si="39"/>
        <v>226</v>
      </c>
      <c r="P254" s="17">
        <f t="shared" si="40"/>
        <v>226</v>
      </c>
      <c r="Q254" s="2">
        <v>20</v>
      </c>
    </row>
    <row r="255" spans="14:17" x14ac:dyDescent="0.15">
      <c r="N255" s="2" t="s">
        <v>17</v>
      </c>
      <c r="O255" s="17">
        <f t="shared" si="39"/>
        <v>210</v>
      </c>
      <c r="P255" s="17">
        <f t="shared" si="40"/>
        <v>210</v>
      </c>
      <c r="Q255" s="2">
        <v>21</v>
      </c>
    </row>
    <row r="256" spans="14:17" x14ac:dyDescent="0.15">
      <c r="N256" s="2" t="s">
        <v>18</v>
      </c>
      <c r="O256" s="17">
        <f t="shared" si="39"/>
        <v>129</v>
      </c>
      <c r="P256" s="17">
        <f t="shared" si="40"/>
        <v>129</v>
      </c>
      <c r="Q256" s="2">
        <v>22</v>
      </c>
    </row>
    <row r="257" spans="14:17" x14ac:dyDescent="0.15">
      <c r="N257" s="2" t="s">
        <v>19</v>
      </c>
      <c r="O257" s="17">
        <f t="shared" si="39"/>
        <v>44</v>
      </c>
      <c r="P257" s="17">
        <f t="shared" si="40"/>
        <v>44</v>
      </c>
      <c r="Q257" s="2">
        <v>23</v>
      </c>
    </row>
    <row r="258" spans="14:17" x14ac:dyDescent="0.15">
      <c r="N258" s="2" t="s">
        <v>20</v>
      </c>
      <c r="O258" s="17">
        <f>H161+I161</f>
        <v>10</v>
      </c>
      <c r="P258" s="17">
        <f>O161+P161</f>
        <v>10</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2019-03-19T16:57:44Z</cp:lastPrinted>
  <dcterms:created xsi:type="dcterms:W3CDTF">2018-08-17T00:57:13Z</dcterms:created>
  <dcterms:modified xsi:type="dcterms:W3CDTF">2023-03-06T08:58:25Z</dcterms:modified>
</cp:coreProperties>
</file>