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Bhom9NjMiafb9f8pNQb7qmKmIgq1ffgDFUV4KTGCOp+FPFh72ffeyix/ri0OAiOYe8XmEhRh+bpoJ1Q/a4Ti+A==" workbookSaltValue="OW3ZHycCH2naXiEQ0kaLz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K12"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K14" i="17" l="1"/>
  <c r="AK13" i="17"/>
  <c r="AD18" i="17"/>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O5" i="18"/>
  <c r="O33" i="18" s="1"/>
  <c r="H7" i="18"/>
  <c r="H43" i="18" s="1"/>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O23" i="18" l="1"/>
  <c r="DW15" i="17"/>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X8" i="17" s="1"/>
  <c r="BW4" i="17" s="1"/>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F8" i="17" l="1"/>
  <c r="CE4" i="17" s="1"/>
  <c r="DL4" i="17" s="1"/>
  <c r="AT8" i="17"/>
  <c r="BS4" i="17" s="1"/>
  <c r="BB8" i="17"/>
  <c r="CA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CC5" i="17" l="1"/>
  <c r="O75" i="18"/>
  <c r="ER4" i="17"/>
  <c r="ES7"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CM5" i="17" s="1"/>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R7"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l="1"/>
  <c r="ER5" i="17"/>
  <c r="ER21" i="17"/>
  <c r="ER22" i="17" s="1"/>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P7" i="17" l="1"/>
  <c r="DQ7" i="17"/>
  <c r="DI10" i="17"/>
  <c r="DJ13" i="17" s="1"/>
  <c r="DK16" i="17" s="1"/>
  <c r="EY21" i="17"/>
  <c r="EX21" i="17"/>
  <c r="DH8" i="17"/>
  <c r="DQ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P226" i="18"/>
  <c r="DB16" i="17"/>
  <c r="DC19" i="17" s="1"/>
  <c r="P200" i="18" s="1"/>
  <c r="DG19" i="17"/>
  <c r="P204" i="18" s="1"/>
  <c r="P134" i="18"/>
  <c r="Q37" i="18" s="1"/>
  <c r="DI11" i="17"/>
  <c r="DQ11" i="17" s="1"/>
  <c r="DP8" i="17"/>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Q12" i="17"/>
  <c r="BN13" i="17"/>
  <c r="CH10" i="17"/>
  <c r="DS3" i="17"/>
  <c r="DR3" i="17"/>
  <c r="CM14" i="17"/>
  <c r="CJ14" i="17"/>
  <c r="DR4" i="17"/>
  <c r="DS4" i="17"/>
  <c r="CG9" i="17"/>
  <c r="BN12" i="17"/>
  <c r="CH9" i="17"/>
  <c r="BM11" i="17"/>
  <c r="CH11" i="17" s="1"/>
  <c r="I27" i="18" s="1"/>
  <c r="P27" i="18" s="1"/>
  <c r="CV14" i="17"/>
  <c r="DT12" i="17"/>
  <c r="DN6" i="17"/>
  <c r="BL11" i="17"/>
  <c r="BM12" i="17"/>
  <c r="DP12" i="17"/>
  <c r="CI14" i="17"/>
  <c r="BM13" i="17"/>
  <c r="CG10" i="17"/>
  <c r="Q45" i="18" l="1"/>
  <c r="DP11" i="17"/>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F3" i="17"/>
  <c r="EE4" i="17"/>
  <c r="EF7" i="17" s="1"/>
  <c r="EF4" i="17"/>
  <c r="EF21" i="17" s="1"/>
  <c r="C37" i="21"/>
  <c r="EE3" i="17"/>
  <c r="EE13" i="17"/>
  <c r="EE7" i="17"/>
  <c r="EG4" i="17"/>
  <c r="EE10" i="17"/>
  <c r="EG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FB7" i="17" s="1"/>
  <c r="CH20" i="17"/>
  <c r="EG21" i="17"/>
  <c r="EH7" i="17"/>
  <c r="EE24" i="17"/>
  <c r="EF6" i="17"/>
  <c r="EF8" i="17" s="1"/>
  <c r="EE5" i="17"/>
  <c r="EE20" i="17"/>
  <c r="EU3" i="17"/>
  <c r="FB3" i="17"/>
  <c r="D38" i="21"/>
  <c r="C38" i="21"/>
  <c r="D37" i="21"/>
  <c r="C39" i="21"/>
  <c r="D39" i="21"/>
  <c r="EG24" i="17"/>
  <c r="EG10" i="17"/>
  <c r="EF24" i="17"/>
  <c r="EE21" i="17"/>
  <c r="EU4" i="17"/>
  <c r="FB4" i="17"/>
  <c r="EF29" i="17"/>
  <c r="EG6" i="17"/>
  <c r="EG8" i="17" s="1"/>
  <c r="EF5" i="17"/>
  <c r="EF20" i="17"/>
  <c r="EF22" i="17" s="1"/>
  <c r="EF10" i="17"/>
  <c r="EE23" i="17"/>
  <c r="EE8" i="17"/>
  <c r="EE30" i="17"/>
  <c r="EF9" i="17"/>
  <c r="EE29" i="17"/>
  <c r="EE14" i="17"/>
  <c r="EH6" i="17"/>
  <c r="EG5" i="17"/>
  <c r="EG20" i="17"/>
  <c r="EF13" i="17"/>
  <c r="EF30" i="17" s="1"/>
  <c r="EE2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5" i="17" l="1"/>
  <c r="EG22" i="17"/>
  <c r="EH10" i="17"/>
  <c r="EH27" i="17" s="1"/>
  <c r="FB6" i="17"/>
  <c r="EE31" i="17"/>
  <c r="EF14" i="17"/>
  <c r="EG12" i="17"/>
  <c r="EF26" i="17"/>
  <c r="EF11" i="17"/>
  <c r="FB21" i="17"/>
  <c r="EU21" i="17"/>
  <c r="FB8" i="17"/>
  <c r="EZ3" i="17"/>
  <c r="FA3" i="17"/>
  <c r="EE28" i="17"/>
  <c r="FB10" i="17"/>
  <c r="EH13" i="17"/>
  <c r="EH30" i="17" s="1"/>
  <c r="EG27" i="17"/>
  <c r="FB20" i="17"/>
  <c r="EU20" i="17"/>
  <c r="EE22" i="17"/>
  <c r="EU5" i="17"/>
  <c r="FB5" i="17"/>
  <c r="EG13" i="17"/>
  <c r="EF27" i="17"/>
  <c r="EF23" i="17"/>
  <c r="EF25" i="17" s="1"/>
  <c r="EG9" i="17"/>
  <c r="DZ7" i="17"/>
  <c r="DZ6" i="17"/>
  <c r="EH23" i="17"/>
  <c r="EI9" i="17"/>
  <c r="EH8" i="17"/>
  <c r="FB24" i="17"/>
  <c r="FA4" i="17"/>
  <c r="EZ4" i="17"/>
  <c r="EG23" i="17"/>
  <c r="FB23" i="17" s="1"/>
  <c r="EH9" i="17"/>
  <c r="EI10" i="17"/>
  <c r="EH24" i="17"/>
  <c r="EF31" i="17"/>
  <c r="D11" i="19"/>
  <c r="CK18" i="17"/>
  <c r="DS20" i="17"/>
  <c r="DS18" i="17"/>
  <c r="CK19" i="17"/>
  <c r="CL19" i="17"/>
  <c r="CF20" i="17"/>
  <c r="EI13" i="17" l="1"/>
  <c r="EI30" i="17" s="1"/>
  <c r="EH25" i="17"/>
  <c r="DZ10" i="17"/>
  <c r="DZ9" i="17"/>
  <c r="EG30" i="17"/>
  <c r="FB30" i="17" s="1"/>
  <c r="FB13" i="17"/>
  <c r="EG25" i="17"/>
  <c r="FB25" i="17" s="1"/>
  <c r="EI11" i="17"/>
  <c r="EJ12" i="17"/>
  <c r="EI26" i="17"/>
  <c r="EZ5" i="17"/>
  <c r="FA5" i="17"/>
  <c r="DZ23" i="17"/>
  <c r="DZ8" i="17"/>
  <c r="EU8" i="17" s="1"/>
  <c r="EU6" i="17"/>
  <c r="EA9" i="17"/>
  <c r="FA21" i="17"/>
  <c r="EZ21" i="17"/>
  <c r="EU7" i="17"/>
  <c r="EA10" i="17"/>
  <c r="DZ24" i="17"/>
  <c r="EU24" i="17" s="1"/>
  <c r="FB22" i="17"/>
  <c r="EU22" i="17"/>
  <c r="FA20" i="17"/>
  <c r="EZ20" i="17"/>
  <c r="EF28" i="17"/>
  <c r="FB27" i="17"/>
  <c r="EJ13" i="17"/>
  <c r="EJ30" i="17" s="1"/>
  <c r="EI27" i="17"/>
  <c r="EG26" i="17"/>
  <c r="FB26" i="17" s="1"/>
  <c r="EH12" i="17"/>
  <c r="EG11" i="17"/>
  <c r="FB11" i="17" s="1"/>
  <c r="FB9" i="17"/>
  <c r="EH26" i="17"/>
  <c r="EH28" i="17" s="1"/>
  <c r="EI12" i="17"/>
  <c r="EH11" i="17"/>
  <c r="EG29" i="17"/>
  <c r="EG14" i="17"/>
  <c r="FB14" i="17" s="1"/>
  <c r="FB12" i="17"/>
  <c r="CK20" i="17"/>
  <c r="CL20" i="17"/>
  <c r="EI28" i="17" l="1"/>
  <c r="FA22" i="17"/>
  <c r="EZ22" i="17"/>
  <c r="H36" i="21"/>
  <c r="EJ29" i="17"/>
  <c r="EJ31" i="17" s="1"/>
  <c r="EJ14" i="17"/>
  <c r="FA7" i="17"/>
  <c r="EZ7" i="17"/>
  <c r="FA24" i="17"/>
  <c r="EZ24" i="17"/>
  <c r="DZ13" i="17"/>
  <c r="DZ12" i="17"/>
  <c r="EU9" i="17"/>
  <c r="EA11" i="17"/>
  <c r="EV11" i="17" s="1"/>
  <c r="EV9" i="17"/>
  <c r="EA26" i="17"/>
  <c r="EB12" i="17"/>
  <c r="FB29" i="17"/>
  <c r="EG31" i="17"/>
  <c r="FB31" i="17" s="1"/>
  <c r="EZ6" i="17"/>
  <c r="FA6" i="17"/>
  <c r="EA12" i="17"/>
  <c r="DZ26" i="17"/>
  <c r="DZ11" i="17"/>
  <c r="EI29" i="17"/>
  <c r="EI31" i="17" s="1"/>
  <c r="EI14" i="17"/>
  <c r="EH29" i="17"/>
  <c r="EH31" i="17" s="1"/>
  <c r="EH14" i="17"/>
  <c r="EG28" i="17"/>
  <c r="FB28" i="17" s="1"/>
  <c r="FA8" i="17"/>
  <c r="EZ8" i="17"/>
  <c r="EA13" i="17"/>
  <c r="EA30" i="17" s="1"/>
  <c r="DZ27" i="17"/>
  <c r="EU10" i="17"/>
  <c r="EB13" i="17"/>
  <c r="EV10" i="17"/>
  <c r="EA27" i="17"/>
  <c r="EV27" i="17" s="1"/>
  <c r="DZ25" i="17"/>
  <c r="EU25" i="17" s="1"/>
  <c r="EU23" i="17"/>
  <c r="EU11" i="17" l="1"/>
  <c r="EZ11" i="17" s="1"/>
  <c r="DZ14" i="17"/>
  <c r="DZ29" i="17"/>
  <c r="EU12" i="17"/>
  <c r="EU27" i="17"/>
  <c r="EV13" i="17"/>
  <c r="EB30" i="17"/>
  <c r="EW30" i="17" s="1"/>
  <c r="EW13" i="17"/>
  <c r="EZ9" i="17"/>
  <c r="FA9" i="17"/>
  <c r="EV30" i="17"/>
  <c r="EA29" i="17"/>
  <c r="EA14" i="17"/>
  <c r="EV12" i="17"/>
  <c r="EB29" i="17"/>
  <c r="EW12" i="17"/>
  <c r="EB14" i="17"/>
  <c r="EW14" i="17" s="1"/>
  <c r="DZ30" i="17"/>
  <c r="EU13" i="17"/>
  <c r="EA28" i="17"/>
  <c r="EV28" i="17" s="1"/>
  <c r="EV26" i="17"/>
  <c r="EZ10" i="17"/>
  <c r="FA10" i="17"/>
  <c r="EZ23" i="17"/>
  <c r="FA23" i="17"/>
  <c r="DZ28" i="17"/>
  <c r="EU26" i="17"/>
  <c r="FA25" i="17"/>
  <c r="EZ25" i="17"/>
  <c r="H37" i="21"/>
  <c r="EV14" i="17" l="1"/>
  <c r="FA11" i="17"/>
  <c r="EU30" i="17"/>
  <c r="EZ30" i="17" s="1"/>
  <c r="EA31" i="17"/>
  <c r="EV29" i="17"/>
  <c r="FA27" i="17"/>
  <c r="EZ27" i="17"/>
  <c r="FA13" i="17"/>
  <c r="EZ13" i="17"/>
  <c r="FA26" i="17"/>
  <c r="EZ26" i="17"/>
  <c r="FA12" i="17"/>
  <c r="EZ12" i="17"/>
  <c r="EB31" i="17"/>
  <c r="EW31" i="17" s="1"/>
  <c r="EW29" i="17"/>
  <c r="DZ31" i="17"/>
  <c r="EU29" i="17"/>
  <c r="EU28" i="17"/>
  <c r="EU14" i="17"/>
  <c r="FA30" i="17" l="1"/>
  <c r="FA14" i="17"/>
  <c r="EZ14" i="17"/>
  <c r="EZ28" i="17"/>
  <c r="H38" i="21"/>
  <c r="FA28" i="17"/>
  <c r="FA29" i="17"/>
  <c r="EZ29" i="17"/>
  <c r="EU31" i="17"/>
  <c r="EV31" i="17"/>
  <c r="EZ31" i="17" l="1"/>
  <c r="FA31" i="17"/>
  <c r="H39" i="21"/>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<sst xmlns="http://schemas.openxmlformats.org/spreadsheetml/2006/main" count="1357" uniqueCount="444">
  <si>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</si>
  <si>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</si>
  <si>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</si>
  <si>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</si>
  <si>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</si>
  <si>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</si>
  <si>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</si>
  <si>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</si>
  <si>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</si>
  <si>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</si>
  <si>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</si>
  <si>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</si>
  <si>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</si>
  <si>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</si>
  <si>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</si>
  <si>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</si>
  <si>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</si>
  <si>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</si>
  <si>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</si>
  <si>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</si>
  <si>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</si>
  <si>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</si>
  <si>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</si>
  <si>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</si>
  <si>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</si>
  <si>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</si>
  <si>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</si>
  <si>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</si>
  <si>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</si>
  <si>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</si>
  <si>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</si>
  <si>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</si>
  <si>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</si>
  <si>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</si>
  <si>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</si>
  <si>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</si>
  <si>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</si>
  <si>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</si>
  <si>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</si>
  <si>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</si>
  <si>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</si>
  <si>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</si>
  <si>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</si>
  <si>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</si>
  <si>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</si>
  <si>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</si>
  <si>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</si>
  <si>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</si>
  <si>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</si>
  <si>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</si>
  <si>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</si>
  <si>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</si>
  <si>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</si>
  <si>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</si>
  <si>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</si>
  <si>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</si>
  <si>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</si>
  <si>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</si>
  <si>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</si>
  <si>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</si>
  <si>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</si>
  <si>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</si>
  <si>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</si>
  <si>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</si>
  <si>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</si>
  <si>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</si>
  <si>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</si>
  <si>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</si>
  <si>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</si>
  <si>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</si>
  <si>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</si>
  <si>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</si>
  <si>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</si>
  <si>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</si>
  <si>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</si>
  <si>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</si>
  <si>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</si>
  <si>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</si>
  <si>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</si>
  <si>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</si>
  <si>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</si>
  <si>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</si>
  <si>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</si>
  <si>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</si>
  <si>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</si>
  <si>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</si>
  <si>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</si>
  <si>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</si>
  <si>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</si>
  <si>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</si>
  <si>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</si>
  <si>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</si>
  <si>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</si>
  <si>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</si>
  <si>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</si>
  <si>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</si>
  <si>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</si>
  <si>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</si>
  <si>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</si>
  <si>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</si>
  <si>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</si>
  <si>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</si>
  <si>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</si>
  <si>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</si>
  <si>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</si>
  <si>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</si>
  <si>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</si>
  <si>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</si>
  <si>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</si>
  <si>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</si>
  <si>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</si>
  <si>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</si>
  <si>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</si>
  <si>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</si>
  <si>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</si>
  <si>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</si>
  <si>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</si>
  <si>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</si>
  <si>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</si>
  <si>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</si>
  <si>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</si>
  <si>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</si>
  <si>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</si>
  <si>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</si>
  <si>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</si>
  <si>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</si>
  <si>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</si>
  <si>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</si>
  <si>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</si>
  <si>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</si>
  <si>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</si>
  <si>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</si>
  <si>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</si>
  <si>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</si>
  <si>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</si>
  <si>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</si>
  <si>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</si>
  <si>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</si>
  <si>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</si>
  <si>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</si>
  <si>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</si>
  <si>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</si>
  <si>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</si>
  <si>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</si>
  <si>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</si>
  <si>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</si>
  <si>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</si>
  <si>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</si>
  <si>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</si>
  <si>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</si>
  <si>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</si>
  <si>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</si>
  <si>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</si>
  <si>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</si>
  <si>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</si>
  <si>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</si>
  <si>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</si>
  <si>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</si>
  <si>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</si>
  <si>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</si>
  <si>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</si>
  <si>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</si>
  <si>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</si>
  <si>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</si>
  <si>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</si>
  <si>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</si>
  <si>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</si>
  <si>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</si>
  <si>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</si>
  <si>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</si>
  <si>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</si>
  <si>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</si>
  <si>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</si>
  <si>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</si>
  <si>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</si>
  <si>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</si>
  <si>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</si>
  <si>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</si>
  <si>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</si>
  <si>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</si>
  <si>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</si>
  <si>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</si>
  <si>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</si>
  <si>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</si>
  <si>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</si>
  <si>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</si>
  <si>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</si>
  <si>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</si>
  <si>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</si>
  <si>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</si>
  <si>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</si>
  <si>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</si>
  <si>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</si>
  <si>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</si>
  <si>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</si>
  <si>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</si>
  <si>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</si>
  <si>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</si>
  <si>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</si>
  <si>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</si>
  <si>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</si>
  <si>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</si>
  <si>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</si>
  <si>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</si>
  <si>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</si>
  <si>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</si>
  <si>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</si>
  <si>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</si>
  <si>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</si>
  <si>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</si>
  <si>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</si>
  <si>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</si>
  <si>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</si>
  <si>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</si>
  <si>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</si>
  <si>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</si>
  <si>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</si>
  <si>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</si>
  <si>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</si>
  <si>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</si>
  <si>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</si>
  <si>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</si>
  <si>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</si>
  <si>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</si>
  <si>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</si>
  <si>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</si>
  <si>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</si>
  <si>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</si>
  <si>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</si>
  <si>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</si>
  <si>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</si>
  <si>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</si>
  <si>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</si>
  <si>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</si>
  <si>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</si>
  <si>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</si>
  <si>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</si>
  <si>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</si>
  <si>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</si>
  <si>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</si>
  <si>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</si>
  <si>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</si>
  <si>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</si>
  <si>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</si>
  <si>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</si>
  <si>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</si>
  <si>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</si>
  <si>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</si>
  <si>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</si>
  <si>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</si>
  <si>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</si>
  <si>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</si>
  <si>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</si>
  <si>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</si>
  <si>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</si>
  <si>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</si>
  <si>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</si>
  <si>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</si>
  <si>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</si>
  <si>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</si>
  <si>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</si>
  <si>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</si>
  <si>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</si>
  <si>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</si>
  <si>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</si>
  <si>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</si>
  <si>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</si>
  <si>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</si>
  <si>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</si>
  <si>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</si>
  <si>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</si>
  <si>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</si>
  <si>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</si>
  <si>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</si>
  <si>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</si>
  <si>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</si>
  <si>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</si>
  <si>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</si>
  <si>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</si>
  <si>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</si>
  <si>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</si>
  <si>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</si>
  <si>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</si>
  <si>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</si>
  <si>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</si>
  <si>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</si>
  <si>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</si>
  <si>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</si>
  <si>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</si>
  <si>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</si>
  <si>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</si>
  <si>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</si>
  <si>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</si>
  <si>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</si>
  <si>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</si>
  <si>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</si>
  <si>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</si>
  <si>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</si>
  <si>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</si>
  <si>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</si>
  <si>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</si>
  <si>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</si>
  <si>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</si>
  <si>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</si>
  <si>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</si>
  <si>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</si>
  <si>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</si>
  <si>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</si>
  <si>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</si>
  <si>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</si>
  <si>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</si>
  <si>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</si>
  <si>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</si>
  <si>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</si>
  <si>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</si>
  <si>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</si>
  <si>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</si>
  <si>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</si>
  <si>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</si>
  <si>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</si>
  <si>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</si>
  <si>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</si>
  <si>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</si>
  <si>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</si>
  <si>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</si>
  <si>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</si>
  <si>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</si>
  <si>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</si>
  <si>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</si>
  <si>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</si>
  <si>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</si>
  <si>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</si>
  <si>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</si>
  <si>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</si>
  <si>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</si>
  <si>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</si>
  <si>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</si>
  <si>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</si>
  <si>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</si>
  <si>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</si>
  <si>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</si>
  <si>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</si>
  <si>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</si>
  <si>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</si>
  <si>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</si>
  <si>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</si>
  <si>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</si>
  <si>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</si>
  <si>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</si>
  <si>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</si>
  <si>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</si>
  <si>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</si>
  <si>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</si>
  <si>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</si>
  <si>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</si>
  <si>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</si>
  <si>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</si>
  <si>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</si>
  <si>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</si>
  <si>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</si>
  <si>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</si>
  <si>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</si>
  <si>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</si>
  <si>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</si>
  <si>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</si>
  <si>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</si>
  <si>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</si>
  <si>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</si>
  <si>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</si>
  <si>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</si>
  <si>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</si>
  <si>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</si>
  <si>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</si>
  <si>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</si>
  <si>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</si>
  <si>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</si>
  <si>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</si>
  <si>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</si>
  <si>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</si>
  <si>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</si>
  <si>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</si>
  <si>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</si>
  <si>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</si>
  <si>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</si>
  <si>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</si>
  <si>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</si>
  <si>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</si>
  <si>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</si>
  <si>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</si>
  <si>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</si>
  <si>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</si>
  <si>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</si>
  <si>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</si>
  <si>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</si>
  <si>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</si>
  <si>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</si>
  <si>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</si>
  <si>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</si>
  <si>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</si>
  <si>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</si>
  <si>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</si>
  <si>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</si>
  <si>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</si>
  <si>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</si>
  <si>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</si>
  <si>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</si>
  <si>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</si>
  <si>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</si>
  <si>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</si>
  <si>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</si>
  <si>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</si>
  <si>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</si>
  <si>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</si>
  <si>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</si>
  <si>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</si>
  <si>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</si>
  <si>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</si>
  <si>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</si>
  <si>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</si>
  <si>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</si>
  <si>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</si>
  <si>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</si>
  <si>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</si>
  <si>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</si>
  <si>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</si>
  <si>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</si>
  <si>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</si>
  <si>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</si>
  <si>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45208_4</t>
  </si>
  <si>
    <t>45208_1</t>
  </si>
  <si>
    <t>西都市</t>
    <rPh sb="0" eb="3">
      <t>サイトシ</t>
    </rPh>
    <phoneticPr fontId="1"/>
  </si>
  <si>
    <t>45208_3</t>
  </si>
  <si>
    <t>45208_5</t>
  </si>
  <si>
    <t>45208_6</t>
  </si>
  <si>
    <t>45208_7</t>
  </si>
  <si>
    <t>45208_6</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</si>
  <si>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</si>
  <si>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</si>
  <si>
    <t>妻地区</t>
    <rPh sb="1" eb="3">
      <t>チク</t>
    </rPh>
    <phoneticPr fontId="1"/>
  </si>
  <si>
    <t>穂北地区</t>
    <rPh sb="2" eb="4">
      <t>チク</t>
    </rPh>
    <phoneticPr fontId="1"/>
  </si>
  <si>
    <t>三納地区</t>
    <rPh sb="2" eb="4">
      <t>チク</t>
    </rPh>
    <phoneticPr fontId="1"/>
  </si>
  <si>
    <t>都於郡地区</t>
    <rPh sb="3" eb="5">
      <t>チク</t>
    </rPh>
    <phoneticPr fontId="1"/>
  </si>
  <si>
    <t>三財地区</t>
    <rPh sb="2" eb="4">
      <t>チク</t>
    </rPh>
    <phoneticPr fontId="1"/>
  </si>
  <si>
    <t>東米良地区</t>
    <rPh sb="0" eb="1">
      <t>ヒガシ</t>
    </rPh>
    <rPh sb="1" eb="3">
      <t>メラ</t>
    </rPh>
    <rPh sb="3" eb="5">
      <t>チク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</si>
</sst>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175</c:v>
                </c:pt>
                <c:pt idx="1">
                  <c:v>150</c:v>
                </c:pt>
                <c:pt idx="2">
                  <c:v>121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1144720"/>
        <c:axId val="394294088"/>
      </c:barChart>
      <c:catAx>
        <c:axId val="391144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94088"/>
        <c:crosses val="autoZero"/>
        <c:auto val="1"/>
        <c:lblAlgn val="ctr"/>
        <c:lblOffset val="100"/>
        <c:noMultiLvlLbl val="0"/>
      </c:catAx>
      <c:valAx>
        <c:axId val="3942940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44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85</c:v>
                </c:pt>
                <c:pt idx="1">
                  <c:v>80</c:v>
                </c:pt>
                <c:pt idx="2">
                  <c:v>66</c:v>
                </c:pt>
                <c:pt idx="3">
                  <c:v>54</c:v>
                </c:pt>
                <c:pt idx="4">
                  <c:v>43</c:v>
                </c:pt>
                <c:pt idx="5">
                  <c:v>31</c:v>
                </c:pt>
                <c:pt idx="6">
                  <c:v>21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740536"/>
        <c:axId val="398738576"/>
      </c:barChart>
      <c:catAx>
        <c:axId val="398740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38576"/>
        <c:crosses val="autoZero"/>
        <c:auto val="1"/>
        <c:lblAlgn val="ctr"/>
        <c:lblOffset val="100"/>
        <c:noMultiLvlLbl val="0"/>
      </c:catAx>
      <c:valAx>
        <c:axId val="3987385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405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0.35</c:v>
                </c:pt>
                <c:pt idx="1">
                  <c:v>0.4</c:v>
                </c:pt>
                <c:pt idx="2">
                  <c:v>0.47</c:v>
                </c:pt>
                <c:pt idx="3">
                  <c:v>0.51</c:v>
                </c:pt>
                <c:pt idx="4">
                  <c:v>0.54</c:v>
                </c:pt>
                <c:pt idx="5">
                  <c:v>0.55000000000000004</c:v>
                </c:pt>
                <c:pt idx="6">
                  <c:v>0.56999999999999995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8737792"/>
        <c:axId val="398740928"/>
      </c:barChart>
      <c:catAx>
        <c:axId val="398737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40928"/>
        <c:crosses val="autoZero"/>
        <c:auto val="1"/>
        <c:lblAlgn val="ctr"/>
        <c:lblOffset val="100"/>
        <c:noMultiLvlLbl val="0"/>
      </c:catAx>
      <c:valAx>
        <c:axId val="398740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377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0.21</c:v>
                </c:pt>
                <c:pt idx="1">
                  <c:v>0.23</c:v>
                </c:pt>
                <c:pt idx="2">
                  <c:v>0.25</c:v>
                </c:pt>
                <c:pt idx="3">
                  <c:v>0.28999999999999998</c:v>
                </c:pt>
                <c:pt idx="4">
                  <c:v>0.35</c:v>
                </c:pt>
                <c:pt idx="5">
                  <c:v>0.39</c:v>
                </c:pt>
                <c:pt idx="6">
                  <c:v>0.4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8738184"/>
        <c:axId val="398739360"/>
      </c:barChart>
      <c:catAx>
        <c:axId val="398738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39360"/>
        <c:crosses val="autoZero"/>
        <c:auto val="1"/>
        <c:lblAlgn val="ctr"/>
        <c:lblOffset val="100"/>
        <c:noMultiLvlLbl val="0"/>
      </c:catAx>
      <c:valAx>
        <c:axId val="398739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7381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30974234373227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ECA-4AC6-A59F-305E03D62F0A}"/>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ECA-4AC6-A59F-305E03D62F0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14</c:v>
                </c:pt>
                <c:pt idx="1">
                  <c:v>22</c:v>
                </c:pt>
                <c:pt idx="2">
                  <c:v>33</c:v>
                </c:pt>
                <c:pt idx="3">
                  <c:v>42</c:v>
                </c:pt>
                <c:pt idx="4">
                  <c:v>32</c:v>
                </c:pt>
                <c:pt idx="5">
                  <c:v>29</c:v>
                </c:pt>
                <c:pt idx="6">
                  <c:v>18</c:v>
                </c:pt>
                <c:pt idx="7">
                  <c:v>25</c:v>
                </c:pt>
                <c:pt idx="8">
                  <c:v>50</c:v>
                </c:pt>
                <c:pt idx="9">
                  <c:v>62</c:v>
                </c:pt>
                <c:pt idx="10">
                  <c:v>81</c:v>
                </c:pt>
                <c:pt idx="11">
                  <c:v>95</c:v>
                </c:pt>
                <c:pt idx="12">
                  <c:v>74</c:v>
                </c:pt>
                <c:pt idx="13">
                  <c:v>95</c:v>
                </c:pt>
                <c:pt idx="14">
                  <c:v>118</c:v>
                </c:pt>
                <c:pt idx="15">
                  <c:v>145</c:v>
                </c:pt>
                <c:pt idx="16">
                  <c:v>104</c:v>
                </c:pt>
                <c:pt idx="17">
                  <c:v>49</c:v>
                </c:pt>
                <c:pt idx="18">
                  <c:v>24</c:v>
                </c:pt>
                <c:pt idx="19">
                  <c:v>10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8661664"/>
        <c:axId val="39865970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18</c:v>
                </c:pt>
                <c:pt idx="1">
                  <c:v>29</c:v>
                </c:pt>
                <c:pt idx="2">
                  <c:v>38</c:v>
                </c:pt>
                <c:pt idx="3">
                  <c:v>31</c:v>
                </c:pt>
                <c:pt idx="4">
                  <c:v>22</c:v>
                </c:pt>
                <c:pt idx="5">
                  <c:v>22</c:v>
                </c:pt>
                <c:pt idx="6">
                  <c:v>22</c:v>
                </c:pt>
                <c:pt idx="7">
                  <c:v>25</c:v>
                </c:pt>
                <c:pt idx="8">
                  <c:v>53</c:v>
                </c:pt>
                <c:pt idx="9">
                  <c:v>65</c:v>
                </c:pt>
                <c:pt idx="10">
                  <c:v>73</c:v>
                </c:pt>
                <c:pt idx="11">
                  <c:v>85</c:v>
                </c:pt>
                <c:pt idx="12">
                  <c:v>73</c:v>
                </c:pt>
                <c:pt idx="13">
                  <c:v>98</c:v>
                </c:pt>
                <c:pt idx="14">
                  <c:v>150</c:v>
                </c:pt>
                <c:pt idx="15">
                  <c:v>169</c:v>
                </c:pt>
                <c:pt idx="16">
                  <c:v>160</c:v>
                </c:pt>
                <c:pt idx="17">
                  <c:v>104</c:v>
                </c:pt>
                <c:pt idx="18">
                  <c:v>57</c:v>
                </c:pt>
                <c:pt idx="19">
                  <c:v>29</c:v>
                </c:pt>
                <c:pt idx="20">
                  <c:v>8</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8665584"/>
        <c:axId val="398664016"/>
      </c:barChart>
      <c:catAx>
        <c:axId val="3986616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59704"/>
        <c:crosses val="autoZero"/>
        <c:auto val="1"/>
        <c:lblAlgn val="ctr"/>
        <c:lblOffset val="100"/>
        <c:noMultiLvlLbl val="0"/>
      </c:catAx>
      <c:valAx>
        <c:axId val="39865970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61664"/>
        <c:crosses val="autoZero"/>
        <c:crossBetween val="between"/>
        <c:majorUnit val="150"/>
      </c:valAx>
      <c:valAx>
        <c:axId val="39866401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65584"/>
        <c:crosses val="max"/>
        <c:crossBetween val="between"/>
        <c:majorUnit val="150"/>
      </c:valAx>
      <c:catAx>
        <c:axId val="398665584"/>
        <c:scaling>
          <c:orientation val="minMax"/>
        </c:scaling>
        <c:delete val="1"/>
        <c:axPos val="l"/>
        <c:numFmt formatCode="General" sourceLinked="1"/>
        <c:majorTickMark val="out"/>
        <c:minorTickMark val="none"/>
        <c:tickLblPos val="nextTo"/>
        <c:crossAx val="3986640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715-4FE0-BB28-7A40BFA82840}"/>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715-4FE0-BB28-7A40BFA8284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10</c:v>
                </c:pt>
                <c:pt idx="1">
                  <c:v>12</c:v>
                </c:pt>
                <c:pt idx="2">
                  <c:v>16</c:v>
                </c:pt>
                <c:pt idx="3">
                  <c:v>19</c:v>
                </c:pt>
                <c:pt idx="4">
                  <c:v>17</c:v>
                </c:pt>
                <c:pt idx="5">
                  <c:v>18</c:v>
                </c:pt>
                <c:pt idx="6">
                  <c:v>19</c:v>
                </c:pt>
                <c:pt idx="7">
                  <c:v>24</c:v>
                </c:pt>
                <c:pt idx="8">
                  <c:v>17</c:v>
                </c:pt>
                <c:pt idx="9">
                  <c:v>24</c:v>
                </c:pt>
                <c:pt idx="10">
                  <c:v>49</c:v>
                </c:pt>
                <c:pt idx="11">
                  <c:v>63</c:v>
                </c:pt>
                <c:pt idx="12">
                  <c:v>81</c:v>
                </c:pt>
                <c:pt idx="13">
                  <c:v>89</c:v>
                </c:pt>
                <c:pt idx="14">
                  <c:v>62</c:v>
                </c:pt>
                <c:pt idx="15">
                  <c:v>74</c:v>
                </c:pt>
                <c:pt idx="16">
                  <c:v>78</c:v>
                </c:pt>
                <c:pt idx="17">
                  <c:v>68</c:v>
                </c:pt>
                <c:pt idx="18">
                  <c:v>29</c:v>
                </c:pt>
                <c:pt idx="19">
                  <c:v>9</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8660096"/>
        <c:axId val="39866284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13</c:v>
                </c:pt>
                <c:pt idx="1">
                  <c:v>16</c:v>
                </c:pt>
                <c:pt idx="2">
                  <c:v>18</c:v>
                </c:pt>
                <c:pt idx="3">
                  <c:v>21</c:v>
                </c:pt>
                <c:pt idx="4">
                  <c:v>18</c:v>
                </c:pt>
                <c:pt idx="5">
                  <c:v>15</c:v>
                </c:pt>
                <c:pt idx="6">
                  <c:v>15</c:v>
                </c:pt>
                <c:pt idx="7">
                  <c:v>17</c:v>
                </c:pt>
                <c:pt idx="8">
                  <c:v>20</c:v>
                </c:pt>
                <c:pt idx="9">
                  <c:v>23</c:v>
                </c:pt>
                <c:pt idx="10">
                  <c:v>52</c:v>
                </c:pt>
                <c:pt idx="11">
                  <c:v>68</c:v>
                </c:pt>
                <c:pt idx="12">
                  <c:v>74</c:v>
                </c:pt>
                <c:pt idx="13">
                  <c:v>81</c:v>
                </c:pt>
                <c:pt idx="14">
                  <c:v>68</c:v>
                </c:pt>
                <c:pt idx="15">
                  <c:v>90</c:v>
                </c:pt>
                <c:pt idx="16">
                  <c:v>127</c:v>
                </c:pt>
                <c:pt idx="17">
                  <c:v>122</c:v>
                </c:pt>
                <c:pt idx="18">
                  <c:v>72</c:v>
                </c:pt>
                <c:pt idx="19">
                  <c:v>24</c:v>
                </c:pt>
                <c:pt idx="20">
                  <c:v>6</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8666368"/>
        <c:axId val="398663232"/>
      </c:barChart>
      <c:catAx>
        <c:axId val="3986600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62840"/>
        <c:crosses val="autoZero"/>
        <c:auto val="1"/>
        <c:lblAlgn val="ctr"/>
        <c:lblOffset val="100"/>
        <c:noMultiLvlLbl val="0"/>
      </c:catAx>
      <c:valAx>
        <c:axId val="39866284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60096"/>
        <c:crosses val="autoZero"/>
        <c:crossBetween val="between"/>
        <c:majorUnit val="150"/>
      </c:valAx>
      <c:valAx>
        <c:axId val="39866323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66368"/>
        <c:crosses val="max"/>
        <c:crossBetween val="between"/>
        <c:majorUnit val="150"/>
      </c:valAx>
      <c:catAx>
        <c:axId val="398666368"/>
        <c:scaling>
          <c:orientation val="minMax"/>
        </c:scaling>
        <c:delete val="1"/>
        <c:axPos val="l"/>
        <c:numFmt formatCode="General" sourceLinked="1"/>
        <c:majorTickMark val="out"/>
        <c:minorTickMark val="none"/>
        <c:tickLblPos val="nextTo"/>
        <c:crossAx val="3986632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4056</c:v>
                </c:pt>
                <c:pt idx="1">
                  <c:v>3657</c:v>
                </c:pt>
                <c:pt idx="2">
                  <c:v>3245</c:v>
                </c:pt>
                <c:pt idx="3">
                  <c:v>2845</c:v>
                </c:pt>
                <c:pt idx="4">
                  <c:v>2453</c:v>
                </c:pt>
                <c:pt idx="5">
                  <c:v>2083</c:v>
                </c:pt>
                <c:pt idx="6">
                  <c:v>1738</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890-4A53-AA17-3360B467E1C8}"/>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890-4A53-AA17-3360B467E1C8}"/>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890-4A53-AA17-3360B467E1C8}"/>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890-4A53-AA17-3360B467E1C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2854</c:v>
                </c:pt>
                <c:pt idx="4" formatCode="#,##0_);[Red]\(#,##0\)">
                  <c:v>2472</c:v>
                </c:pt>
                <c:pt idx="5" formatCode="#,##0_);[Red]\(#,##0\)">
                  <c:v>2108</c:v>
                </c:pt>
                <c:pt idx="6" formatCode="#,##0_);[Red]\(#,##0\)">
                  <c:v>1772</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8660880"/>
        <c:axId val="398667152"/>
      </c:barChart>
      <c:catAx>
        <c:axId val="398660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67152"/>
        <c:crosses val="autoZero"/>
        <c:auto val="1"/>
        <c:lblAlgn val="ctr"/>
        <c:lblOffset val="100"/>
        <c:noMultiLvlLbl val="0"/>
      </c:catAx>
      <c:valAx>
        <c:axId val="398667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6088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175</c:v>
                </c:pt>
                <c:pt idx="1">
                  <c:v>150</c:v>
                </c:pt>
                <c:pt idx="2">
                  <c:v>121</c:v>
                </c:pt>
                <c:pt idx="3">
                  <c:v>98</c:v>
                </c:pt>
                <c:pt idx="4">
                  <c:v>73</c:v>
                </c:pt>
                <c:pt idx="5">
                  <c:v>50</c:v>
                </c:pt>
                <c:pt idx="6">
                  <c:v>37</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100</c:v>
                </c:pt>
                <c:pt idx="4">
                  <c:v>76</c:v>
                </c:pt>
                <c:pt idx="5">
                  <c:v>55</c:v>
                </c:pt>
                <c:pt idx="6">
                  <c:v>43</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8661272"/>
        <c:axId val="398662448"/>
      </c:barChart>
      <c:catAx>
        <c:axId val="398661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62448"/>
        <c:crosses val="autoZero"/>
        <c:auto val="1"/>
        <c:lblAlgn val="ctr"/>
        <c:lblOffset val="100"/>
        <c:noMultiLvlLbl val="0"/>
      </c:catAx>
      <c:valAx>
        <c:axId val="3986624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6127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0.35</c:v>
                </c:pt>
                <c:pt idx="1">
                  <c:v>0.4</c:v>
                </c:pt>
                <c:pt idx="2">
                  <c:v>0.47</c:v>
                </c:pt>
                <c:pt idx="3">
                  <c:v>0.51</c:v>
                </c:pt>
                <c:pt idx="4">
                  <c:v>0.54</c:v>
                </c:pt>
                <c:pt idx="5">
                  <c:v>0.55000000000000004</c:v>
                </c:pt>
                <c:pt idx="6">
                  <c:v>0.56999999999999995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3AD-467C-974E-1569A3818F1A}"/>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3AD-467C-974E-1569A3818F1A}"/>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3AD-467C-974E-1569A3818F1A}"/>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3AD-467C-974E-1569A3818F1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0.51</c:v>
                </c:pt>
                <c:pt idx="4" formatCode="0%">
                  <c:v>0.53</c:v>
                </c:pt>
                <c:pt idx="5" formatCode="0%">
                  <c:v>0.54</c:v>
                </c:pt>
                <c:pt idx="6" formatCode="0%">
                  <c:v>0.56000000000000005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8665976"/>
        <c:axId val="398664408"/>
      </c:barChart>
      <c:catAx>
        <c:axId val="398665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64408"/>
        <c:crosses val="autoZero"/>
        <c:auto val="1"/>
        <c:lblAlgn val="ctr"/>
        <c:lblOffset val="100"/>
        <c:noMultiLvlLbl val="0"/>
      </c:catAx>
      <c:valAx>
        <c:axId val="3986644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659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0.21</c:v>
                </c:pt>
                <c:pt idx="1">
                  <c:v>0.23</c:v>
                </c:pt>
                <c:pt idx="2">
                  <c:v>0.25</c:v>
                </c:pt>
                <c:pt idx="3">
                  <c:v>0.28999999999999998</c:v>
                </c:pt>
                <c:pt idx="4">
                  <c:v>0.35</c:v>
                </c:pt>
                <c:pt idx="5">
                  <c:v>0.39</c:v>
                </c:pt>
                <c:pt idx="6">
                  <c:v>0.4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C9C-424B-B582-68CB0A2539DF}"/>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C9C-424B-B582-68CB0A2539DF}"/>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C9C-424B-B582-68CB0A2539DF}"/>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C9C-424B-B582-68CB0A2539D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0.28999999999999998</c:v>
                </c:pt>
                <c:pt idx="4" formatCode="0%">
                  <c:v>0.35</c:v>
                </c:pt>
                <c:pt idx="5" formatCode="0%">
                  <c:v>0.39</c:v>
                </c:pt>
                <c:pt idx="6" formatCode="0%">
                  <c:v>0.39</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8665192"/>
        <c:axId val="462730816"/>
      </c:barChart>
      <c:catAx>
        <c:axId val="398665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30816"/>
        <c:crosses val="autoZero"/>
        <c:auto val="1"/>
        <c:lblAlgn val="ctr"/>
        <c:lblOffset val="100"/>
        <c:noMultiLvlLbl val="0"/>
      </c:catAx>
      <c:valAx>
        <c:axId val="462730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66519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85</c:v>
                </c:pt>
                <c:pt idx="1">
                  <c:v>80</c:v>
                </c:pt>
                <c:pt idx="2">
                  <c:v>66</c:v>
                </c:pt>
                <c:pt idx="3">
                  <c:v>54</c:v>
                </c:pt>
                <c:pt idx="4">
                  <c:v>43</c:v>
                </c:pt>
                <c:pt idx="5">
                  <c:v>31</c:v>
                </c:pt>
                <c:pt idx="6">
                  <c:v>21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55</c:v>
                </c:pt>
                <c:pt idx="4">
                  <c:v>44</c:v>
                </c:pt>
                <c:pt idx="5">
                  <c:v>33</c:v>
                </c:pt>
                <c:pt idx="6">
                  <c:v>24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2731992"/>
        <c:axId val="462725328"/>
      </c:barChart>
      <c:catAx>
        <c:axId val="462731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25328"/>
        <c:crosses val="autoZero"/>
        <c:auto val="1"/>
        <c:lblAlgn val="ctr"/>
        <c:lblOffset val="100"/>
        <c:noMultiLvlLbl val="0"/>
      </c:catAx>
      <c:valAx>
        <c:axId val="4627253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3199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85</c:v>
                </c:pt>
                <c:pt idx="1">
                  <c:v>80</c:v>
                </c:pt>
                <c:pt idx="2">
                  <c:v>66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4294480"/>
        <c:axId val="394295264"/>
      </c:barChart>
      <c:catAx>
        <c:axId val="39429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95264"/>
        <c:crosses val="autoZero"/>
        <c:auto val="1"/>
        <c:lblAlgn val="ctr"/>
        <c:lblOffset val="100"/>
        <c:noMultiLvlLbl val="0"/>
      </c:catAx>
      <c:valAx>
        <c:axId val="3942952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94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806099838270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D4D-4A75-8F46-6C1118406DC5}"/>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D4D-4A75-8F46-6C1118406DC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16</c:v>
                </c:pt>
                <c:pt idx="1">
                  <c:v>23</c:v>
                </c:pt>
                <c:pt idx="2">
                  <c:v>34</c:v>
                </c:pt>
                <c:pt idx="3">
                  <c:v>43</c:v>
                </c:pt>
                <c:pt idx="4">
                  <c:v>32</c:v>
                </c:pt>
                <c:pt idx="5">
                  <c:v>31</c:v>
                </c:pt>
                <c:pt idx="6">
                  <c:v>19</c:v>
                </c:pt>
                <c:pt idx="7">
                  <c:v>25</c:v>
                </c:pt>
                <c:pt idx="8">
                  <c:v>50</c:v>
                </c:pt>
                <c:pt idx="9">
                  <c:v>62</c:v>
                </c:pt>
                <c:pt idx="10">
                  <c:v>81</c:v>
                </c:pt>
                <c:pt idx="11">
                  <c:v>95</c:v>
                </c:pt>
                <c:pt idx="12">
                  <c:v>74</c:v>
                </c:pt>
                <c:pt idx="13">
                  <c:v>95</c:v>
                </c:pt>
                <c:pt idx="14">
                  <c:v>118</c:v>
                </c:pt>
                <c:pt idx="15">
                  <c:v>145</c:v>
                </c:pt>
                <c:pt idx="16">
                  <c:v>104</c:v>
                </c:pt>
                <c:pt idx="17">
                  <c:v>49</c:v>
                </c:pt>
                <c:pt idx="18">
                  <c:v>24</c:v>
                </c:pt>
                <c:pt idx="19">
                  <c:v>10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2728072"/>
        <c:axId val="46272846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20</c:v>
                </c:pt>
                <c:pt idx="1">
                  <c:v>30</c:v>
                </c:pt>
                <c:pt idx="2">
                  <c:v>39</c:v>
                </c:pt>
                <c:pt idx="3">
                  <c:v>32</c:v>
                </c:pt>
                <c:pt idx="4">
                  <c:v>22</c:v>
                </c:pt>
                <c:pt idx="5">
                  <c:v>24</c:v>
                </c:pt>
                <c:pt idx="6">
                  <c:v>24</c:v>
                </c:pt>
                <c:pt idx="7">
                  <c:v>25</c:v>
                </c:pt>
                <c:pt idx="8">
                  <c:v>54</c:v>
                </c:pt>
                <c:pt idx="9">
                  <c:v>66</c:v>
                </c:pt>
                <c:pt idx="10">
                  <c:v>73</c:v>
                </c:pt>
                <c:pt idx="11">
                  <c:v>85</c:v>
                </c:pt>
                <c:pt idx="12">
                  <c:v>73</c:v>
                </c:pt>
                <c:pt idx="13">
                  <c:v>98</c:v>
                </c:pt>
                <c:pt idx="14">
                  <c:v>150</c:v>
                </c:pt>
                <c:pt idx="15">
                  <c:v>169</c:v>
                </c:pt>
                <c:pt idx="16">
                  <c:v>160</c:v>
                </c:pt>
                <c:pt idx="17">
                  <c:v>104</c:v>
                </c:pt>
                <c:pt idx="18">
                  <c:v>57</c:v>
                </c:pt>
                <c:pt idx="19">
                  <c:v>29</c:v>
                </c:pt>
                <c:pt idx="20">
                  <c:v>8</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732384"/>
        <c:axId val="462725720"/>
      </c:barChart>
      <c:catAx>
        <c:axId val="4627280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28464"/>
        <c:crosses val="autoZero"/>
        <c:auto val="1"/>
        <c:lblAlgn val="ctr"/>
        <c:lblOffset val="100"/>
        <c:noMultiLvlLbl val="0"/>
      </c:catAx>
      <c:valAx>
        <c:axId val="46272846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28072"/>
        <c:crosses val="autoZero"/>
        <c:crossBetween val="between"/>
        <c:majorUnit val="150"/>
      </c:valAx>
      <c:valAx>
        <c:axId val="46272572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32384"/>
        <c:crosses val="max"/>
        <c:crossBetween val="between"/>
        <c:majorUnit val="150"/>
      </c:valAx>
      <c:catAx>
        <c:axId val="462732384"/>
        <c:scaling>
          <c:orientation val="minMax"/>
        </c:scaling>
        <c:delete val="1"/>
        <c:axPos val="l"/>
        <c:numFmt formatCode="General" sourceLinked="1"/>
        <c:majorTickMark val="out"/>
        <c:minorTickMark val="none"/>
        <c:tickLblPos val="nextTo"/>
        <c:crossAx val="4627257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8B6-43FF-A9E3-F572EE2E0B04}"/>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8B6-43FF-A9E3-F572EE2E0B0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12</c:v>
                </c:pt>
                <c:pt idx="1">
                  <c:v>14</c:v>
                </c:pt>
                <c:pt idx="2">
                  <c:v>18</c:v>
                </c:pt>
                <c:pt idx="3">
                  <c:v>21</c:v>
                </c:pt>
                <c:pt idx="4">
                  <c:v>17</c:v>
                </c:pt>
                <c:pt idx="5">
                  <c:v>20</c:v>
                </c:pt>
                <c:pt idx="6">
                  <c:v>21</c:v>
                </c:pt>
                <c:pt idx="7">
                  <c:v>25</c:v>
                </c:pt>
                <c:pt idx="8">
                  <c:v>18</c:v>
                </c:pt>
                <c:pt idx="9">
                  <c:v>24</c:v>
                </c:pt>
                <c:pt idx="10">
                  <c:v>49</c:v>
                </c:pt>
                <c:pt idx="11">
                  <c:v>63</c:v>
                </c:pt>
                <c:pt idx="12">
                  <c:v>81</c:v>
                </c:pt>
                <c:pt idx="13">
                  <c:v>89</c:v>
                </c:pt>
                <c:pt idx="14">
                  <c:v>62</c:v>
                </c:pt>
                <c:pt idx="15">
                  <c:v>74</c:v>
                </c:pt>
                <c:pt idx="16">
                  <c:v>78</c:v>
                </c:pt>
                <c:pt idx="17">
                  <c:v>68</c:v>
                </c:pt>
                <c:pt idx="18">
                  <c:v>29</c:v>
                </c:pt>
                <c:pt idx="19">
                  <c:v>9</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727288"/>
        <c:axId val="46272885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15</c:v>
                </c:pt>
                <c:pt idx="1">
                  <c:v>19</c:v>
                </c:pt>
                <c:pt idx="2">
                  <c:v>20</c:v>
                </c:pt>
                <c:pt idx="3">
                  <c:v>22</c:v>
                </c:pt>
                <c:pt idx="4">
                  <c:v>19</c:v>
                </c:pt>
                <c:pt idx="5">
                  <c:v>18</c:v>
                </c:pt>
                <c:pt idx="6">
                  <c:v>17</c:v>
                </c:pt>
                <c:pt idx="7">
                  <c:v>18</c:v>
                </c:pt>
                <c:pt idx="8">
                  <c:v>22</c:v>
                </c:pt>
                <c:pt idx="9">
                  <c:v>24</c:v>
                </c:pt>
                <c:pt idx="10">
                  <c:v>53</c:v>
                </c:pt>
                <c:pt idx="11">
                  <c:v>69</c:v>
                </c:pt>
                <c:pt idx="12">
                  <c:v>74</c:v>
                </c:pt>
                <c:pt idx="13">
                  <c:v>81</c:v>
                </c:pt>
                <c:pt idx="14">
                  <c:v>68</c:v>
                </c:pt>
                <c:pt idx="15">
                  <c:v>90</c:v>
                </c:pt>
                <c:pt idx="16">
                  <c:v>127</c:v>
                </c:pt>
                <c:pt idx="17">
                  <c:v>122</c:v>
                </c:pt>
                <c:pt idx="18">
                  <c:v>72</c:v>
                </c:pt>
                <c:pt idx="19">
                  <c:v>24</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729248"/>
        <c:axId val="462726504"/>
      </c:barChart>
      <c:catAx>
        <c:axId val="4627272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28856"/>
        <c:crosses val="autoZero"/>
        <c:auto val="1"/>
        <c:lblAlgn val="ctr"/>
        <c:lblOffset val="100"/>
        <c:noMultiLvlLbl val="0"/>
      </c:catAx>
      <c:valAx>
        <c:axId val="46272885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27288"/>
        <c:crosses val="autoZero"/>
        <c:crossBetween val="between"/>
        <c:majorUnit val="150"/>
      </c:valAx>
      <c:valAx>
        <c:axId val="46272650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29248"/>
        <c:crosses val="max"/>
        <c:crossBetween val="between"/>
        <c:majorUnit val="150"/>
      </c:valAx>
      <c:catAx>
        <c:axId val="462729248"/>
        <c:scaling>
          <c:orientation val="minMax"/>
        </c:scaling>
        <c:delete val="1"/>
        <c:axPos val="l"/>
        <c:numFmt formatCode="General" sourceLinked="1"/>
        <c:majorTickMark val="out"/>
        <c:minorTickMark val="none"/>
        <c:tickLblPos val="nextTo"/>
        <c:crossAx val="4627265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32</c:v>
                </c:pt>
                <c:pt idx="1">
                  <c:v>51</c:v>
                </c:pt>
                <c:pt idx="2">
                  <c:v>71</c:v>
                </c:pt>
                <c:pt idx="3">
                  <c:v>73</c:v>
                </c:pt>
                <c:pt idx="4">
                  <c:v>54</c:v>
                </c:pt>
                <c:pt idx="5">
                  <c:v>51</c:v>
                </c:pt>
                <c:pt idx="6">
                  <c:v>40</c:v>
                </c:pt>
                <c:pt idx="7">
                  <c:v>50</c:v>
                </c:pt>
                <c:pt idx="8">
                  <c:v>103</c:v>
                </c:pt>
                <c:pt idx="9">
                  <c:v>127</c:v>
                </c:pt>
                <c:pt idx="10">
                  <c:v>154</c:v>
                </c:pt>
                <c:pt idx="11">
                  <c:v>180</c:v>
                </c:pt>
                <c:pt idx="12">
                  <c:v>147</c:v>
                </c:pt>
                <c:pt idx="13">
                  <c:v>193</c:v>
                </c:pt>
                <c:pt idx="14">
                  <c:v>268</c:v>
                </c:pt>
                <c:pt idx="15">
                  <c:v>314</c:v>
                </c:pt>
                <c:pt idx="16">
                  <c:v>264</c:v>
                </c:pt>
                <c:pt idx="17">
                  <c:v>153</c:v>
                </c:pt>
                <c:pt idx="18">
                  <c:v>81</c:v>
                </c:pt>
                <c:pt idx="19">
                  <c:v>39</c:v>
                </c:pt>
                <c:pt idx="20">
                  <c:v>8</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727680"/>
        <c:axId val="46272493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36</c:v>
                </c:pt>
                <c:pt idx="1">
                  <c:v>53</c:v>
                </c:pt>
                <c:pt idx="2">
                  <c:v>73</c:v>
                </c:pt>
                <c:pt idx="3">
                  <c:v>75</c:v>
                </c:pt>
                <c:pt idx="4">
                  <c:v>54</c:v>
                </c:pt>
                <c:pt idx="5">
                  <c:v>55</c:v>
                </c:pt>
                <c:pt idx="6">
                  <c:v>43</c:v>
                </c:pt>
                <c:pt idx="7">
                  <c:v>50</c:v>
                </c:pt>
                <c:pt idx="8">
                  <c:v>104</c:v>
                </c:pt>
                <c:pt idx="9">
                  <c:v>128</c:v>
                </c:pt>
                <c:pt idx="10">
                  <c:v>154</c:v>
                </c:pt>
                <c:pt idx="11">
                  <c:v>180</c:v>
                </c:pt>
                <c:pt idx="12">
                  <c:v>147</c:v>
                </c:pt>
                <c:pt idx="13">
                  <c:v>193</c:v>
                </c:pt>
                <c:pt idx="14">
                  <c:v>268</c:v>
                </c:pt>
                <c:pt idx="15">
                  <c:v>314</c:v>
                </c:pt>
                <c:pt idx="16">
                  <c:v>264</c:v>
                </c:pt>
                <c:pt idx="17">
                  <c:v>153</c:v>
                </c:pt>
                <c:pt idx="18">
                  <c:v>81</c:v>
                </c:pt>
                <c:pt idx="19">
                  <c:v>39</c:v>
                </c:pt>
                <c:pt idx="20">
                  <c:v>8</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729640"/>
        <c:axId val="462726112"/>
      </c:barChart>
      <c:catAx>
        <c:axId val="4627276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24936"/>
        <c:crosses val="autoZero"/>
        <c:auto val="1"/>
        <c:lblAlgn val="ctr"/>
        <c:lblOffset val="100"/>
        <c:noMultiLvlLbl val="0"/>
      </c:catAx>
      <c:valAx>
        <c:axId val="46272493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27680"/>
        <c:crosses val="autoZero"/>
        <c:crossBetween val="between"/>
        <c:majorUnit val="250"/>
      </c:valAx>
      <c:valAx>
        <c:axId val="46272611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29640"/>
        <c:crosses val="max"/>
        <c:crossBetween val="between"/>
        <c:majorUnit val="250"/>
      </c:valAx>
      <c:catAx>
        <c:axId val="462729640"/>
        <c:scaling>
          <c:orientation val="minMax"/>
        </c:scaling>
        <c:delete val="1"/>
        <c:axPos val="l"/>
        <c:numFmt formatCode="General" sourceLinked="1"/>
        <c:majorTickMark val="out"/>
        <c:minorTickMark val="none"/>
        <c:tickLblPos val="nextTo"/>
        <c:crossAx val="46272611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23</c:v>
                </c:pt>
                <c:pt idx="1">
                  <c:v>28</c:v>
                </c:pt>
                <c:pt idx="2">
                  <c:v>34</c:v>
                </c:pt>
                <c:pt idx="3">
                  <c:v>40</c:v>
                </c:pt>
                <c:pt idx="4">
                  <c:v>35</c:v>
                </c:pt>
                <c:pt idx="5">
                  <c:v>33</c:v>
                </c:pt>
                <c:pt idx="6">
                  <c:v>34</c:v>
                </c:pt>
                <c:pt idx="7">
                  <c:v>41</c:v>
                </c:pt>
                <c:pt idx="8">
                  <c:v>37</c:v>
                </c:pt>
                <c:pt idx="9">
                  <c:v>47</c:v>
                </c:pt>
                <c:pt idx="10">
                  <c:v>101</c:v>
                </c:pt>
                <c:pt idx="11">
                  <c:v>131</c:v>
                </c:pt>
                <c:pt idx="12">
                  <c:v>155</c:v>
                </c:pt>
                <c:pt idx="13">
                  <c:v>170</c:v>
                </c:pt>
                <c:pt idx="14">
                  <c:v>130</c:v>
                </c:pt>
                <c:pt idx="15">
                  <c:v>164</c:v>
                </c:pt>
                <c:pt idx="16">
                  <c:v>205</c:v>
                </c:pt>
                <c:pt idx="17">
                  <c:v>190</c:v>
                </c:pt>
                <c:pt idx="18">
                  <c:v>101</c:v>
                </c:pt>
                <c:pt idx="19">
                  <c:v>33</c:v>
                </c:pt>
                <c:pt idx="20">
                  <c:v>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844816"/>
        <c:axId val="46384599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27</c:v>
                </c:pt>
                <c:pt idx="1">
                  <c:v>33</c:v>
                </c:pt>
                <c:pt idx="2">
                  <c:v>38</c:v>
                </c:pt>
                <c:pt idx="3">
                  <c:v>43</c:v>
                </c:pt>
                <c:pt idx="4">
                  <c:v>36</c:v>
                </c:pt>
                <c:pt idx="5">
                  <c:v>38</c:v>
                </c:pt>
                <c:pt idx="6">
                  <c:v>38</c:v>
                </c:pt>
                <c:pt idx="7">
                  <c:v>43</c:v>
                </c:pt>
                <c:pt idx="8">
                  <c:v>40</c:v>
                </c:pt>
                <c:pt idx="9">
                  <c:v>48</c:v>
                </c:pt>
                <c:pt idx="10">
                  <c:v>102</c:v>
                </c:pt>
                <c:pt idx="11">
                  <c:v>132</c:v>
                </c:pt>
                <c:pt idx="12">
                  <c:v>155</c:v>
                </c:pt>
                <c:pt idx="13">
                  <c:v>170</c:v>
                </c:pt>
                <c:pt idx="14">
                  <c:v>130</c:v>
                </c:pt>
                <c:pt idx="15">
                  <c:v>164</c:v>
                </c:pt>
                <c:pt idx="16">
                  <c:v>205</c:v>
                </c:pt>
                <c:pt idx="17">
                  <c:v>190</c:v>
                </c:pt>
                <c:pt idx="18">
                  <c:v>101</c:v>
                </c:pt>
                <c:pt idx="19">
                  <c:v>33</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846776"/>
        <c:axId val="463845208"/>
      </c:barChart>
      <c:catAx>
        <c:axId val="463844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45992"/>
        <c:crosses val="autoZero"/>
        <c:auto val="1"/>
        <c:lblAlgn val="ctr"/>
        <c:lblOffset val="100"/>
        <c:noMultiLvlLbl val="0"/>
      </c:catAx>
      <c:valAx>
        <c:axId val="46384599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44816"/>
        <c:crosses val="autoZero"/>
        <c:crossBetween val="between"/>
        <c:majorUnit val="250"/>
      </c:valAx>
      <c:valAx>
        <c:axId val="46384520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46776"/>
        <c:crosses val="max"/>
        <c:crossBetween val="between"/>
        <c:majorUnit val="250"/>
      </c:valAx>
      <c:catAx>
        <c:axId val="463846776"/>
        <c:scaling>
          <c:orientation val="minMax"/>
        </c:scaling>
        <c:delete val="1"/>
        <c:axPos val="l"/>
        <c:numFmt formatCode="General" sourceLinked="1"/>
        <c:majorTickMark val="out"/>
        <c:minorTickMark val="none"/>
        <c:tickLblPos val="nextTo"/>
        <c:crossAx val="46384520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三財地区</c:v>
                </c:pt>
              </c:strCache>
            </c:strRef>
          </c:cat>
          <c:val>
            <c:numRef>
              <c:f>管理者用地域特徴シート!$H$3:$H$5</c:f>
              <c:numCache>
                <c:formatCode>0.0%</c:formatCode>
                <c:ptCount val="3"/>
                <c:pt idx="0">
                  <c:v>0.46108733927332846</c:v>
                </c:pt>
                <c:pt idx="1">
                  <c:v>0.56650204359673029</c:v>
                </c:pt>
                <c:pt idx="2">
                  <c:v>0.70415094339622641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839720"/>
        <c:axId val="463842856"/>
      </c:barChart>
      <c:catAx>
        <c:axId val="4638397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42856"/>
        <c:crosses val="autoZero"/>
        <c:auto val="1"/>
        <c:lblAlgn val="ctr"/>
        <c:lblOffset val="100"/>
        <c:noMultiLvlLbl val="0"/>
      </c:catAx>
      <c:valAx>
        <c:axId val="4638428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397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三財地区</c:v>
                </c:pt>
              </c:strCache>
            </c:strRef>
          </c:cat>
          <c:val>
            <c:numRef>
              <c:f>管理者用地域特徴シート!$J$3:$J$5</c:f>
              <c:numCache>
                <c:formatCode>0.0%</c:formatCode>
                <c:ptCount val="3"/>
                <c:pt idx="0">
                  <c:v>0.15075281438403673</c:v>
                </c:pt>
                <c:pt idx="1">
                  <c:v>0.17915531335149865</c:v>
                </c:pt>
                <c:pt idx="2">
                  <c:v>0.19698113207547169</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3841288"/>
        <c:axId val="463843248"/>
      </c:barChart>
      <c:catAx>
        <c:axId val="4638412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43248"/>
        <c:crosses val="autoZero"/>
        <c:auto val="1"/>
        <c:lblAlgn val="ctr"/>
        <c:lblOffset val="100"/>
        <c:noMultiLvlLbl val="0"/>
      </c:catAx>
      <c:valAx>
        <c:axId val="4638432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412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三財地区</c:v>
                </c:pt>
              </c:strCache>
            </c:strRef>
          </c:cat>
          <c:val>
            <c:numRef>
              <c:f>管理者用地域特徴シート!$P$3:$P$5</c:f>
              <c:numCache>
                <c:formatCode>0.0%</c:formatCode>
                <c:ptCount val="3"/>
                <c:pt idx="0">
                  <c:v>0.34758352842621743</c:v>
                </c:pt>
                <c:pt idx="1">
                  <c:v>0.27794477455435163</c:v>
                </c:pt>
                <c:pt idx="2">
                  <c:v>0.17446153846153847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839328"/>
        <c:axId val="463840112"/>
      </c:barChart>
      <c:catAx>
        <c:axId val="4638393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40112"/>
        <c:crosses val="autoZero"/>
        <c:auto val="1"/>
        <c:lblAlgn val="ctr"/>
        <c:lblOffset val="100"/>
        <c:noMultiLvlLbl val="0"/>
      </c:catAx>
      <c:valAx>
        <c:axId val="4638401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393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三財地区</c:v>
                </c:pt>
              </c:strCache>
            </c:strRef>
          </c:cat>
          <c:val>
            <c:numRef>
              <c:f>管理者用地域特徴シート!$AO$3:$AO$5</c:f>
              <c:numCache>
                <c:formatCode>0.0%</c:formatCode>
                <c:ptCount val="3"/>
                <c:pt idx="0">
                  <c:v>0.5259093009439566</c:v>
                </c:pt>
                <c:pt idx="1">
                  <c:v>0.54762394569018724</c:v>
                </c:pt>
                <c:pt idx="2">
                  <c:v>0.60062893081761004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842072"/>
        <c:axId val="463840896"/>
      </c:barChart>
      <c:catAx>
        <c:axId val="4638420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40896"/>
        <c:crosses val="autoZero"/>
        <c:auto val="1"/>
        <c:lblAlgn val="ctr"/>
        <c:lblOffset val="100"/>
        <c:noMultiLvlLbl val="0"/>
      </c:catAx>
      <c:valAx>
        <c:axId val="4638408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420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三財地区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0.35542857142857143</c:v>
                </c:pt>
                <c:pt idx="1">
                  <c:v>5.7142857142857147E-4</c:v>
                </c:pt>
                <c:pt idx="2">
                  <c:v>0</c:v>
                </c:pt>
                <c:pt idx="3">
                  <c:v>8.4571428571428575E-2</c:v>
                </c:pt>
                <c:pt idx="4">
                  <c:v>9.8285714285714282E-2</c:v>
                </c:pt>
                <c:pt idx="5">
                  <c:v>5.7142857142857147E-4</c:v>
                </c:pt>
                <c:pt idx="6">
                  <c:v>1.1428571428571429E-3</c:v>
                </c:pt>
                <c:pt idx="7">
                  <c:v>2.9714285714285714E-2</c:v>
                </c:pt>
                <c:pt idx="8">
                  <c:v>9.9428571428571422E-2</c:v>
                </c:pt>
                <c:pt idx="9">
                  <c:v>5.1428571428571426E-3</c:v>
                </c:pt>
                <c:pt idx="10">
                  <c:v>5.1428571428571426E-3</c:v>
                </c:pt>
                <c:pt idx="11">
                  <c:v>7.4285714285714285E-3</c:v>
                </c:pt>
                <c:pt idx="12">
                  <c:v>1.6E-2</c:v>
                </c:pt>
                <c:pt idx="13">
                  <c:v>1.7714285714285714E-2</c:v>
                </c:pt>
                <c:pt idx="14">
                  <c:v>1.2571428571428572E-2</c:v>
                </c:pt>
                <c:pt idx="15">
                  <c:v>0.11485714285714285</c:v>
                </c:pt>
                <c:pt idx="16">
                  <c:v>2.057142857142857E-2</c:v>
                </c:pt>
                <c:pt idx="17">
                  <c:v>4.6857142857142854E-2</c:v>
                </c:pt>
                <c:pt idx="18">
                  <c:v>0.02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西都市平均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0.22171526342054609</c:v>
                </c:pt>
                <c:pt idx="1">
                  <c:v>1.5684037926855349E-3</c:v>
                </c:pt>
                <c:pt idx="2">
                  <c:v>2.8516432594282457E-4</c:v>
                </c:pt>
                <c:pt idx="3">
                  <c:v>8.1984743708562055E-2</c:v>
                </c:pt>
                <c:pt idx="4">
                  <c:v>0.1208383831182719</c:v>
                </c:pt>
                <c:pt idx="5">
                  <c:v>3.2793897483424823E-3</c:v>
                </c:pt>
                <c:pt idx="6">
                  <c:v>5.4181221929136669E-3</c:v>
                </c:pt>
                <c:pt idx="7">
                  <c:v>2.8659014757253867E-2</c:v>
                </c:pt>
                <c:pt idx="8">
                  <c:v>0.114992514436444</c:v>
                </c:pt>
                <c:pt idx="9">
                  <c:v>1.1620446282170101E-2</c:v>
                </c:pt>
                <c:pt idx="10">
                  <c:v>6.1310330077707278E-3</c:v>
                </c:pt>
                <c:pt idx="11">
                  <c:v>1.3402723319312753E-2</c:v>
                </c:pt>
                <c:pt idx="12">
                  <c:v>3.6643615883652954E-2</c:v>
                </c:pt>
                <c:pt idx="13">
                  <c:v>3.2009695587082054E-2</c:v>
                </c:pt>
                <c:pt idx="14">
                  <c:v>3.1011620446282171E-2</c:v>
                </c:pt>
                <c:pt idx="15">
                  <c:v>0.13402723319312754</c:v>
                </c:pt>
                <c:pt idx="16">
                  <c:v>2.5379625008911385E-2</c:v>
                </c:pt>
                <c:pt idx="17">
                  <c:v>5.2541527054965426E-2</c:v>
                </c:pt>
                <c:pt idx="18">
                  <c:v>4.1847864832109505E-2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844424"/>
        <c:axId val="463841680"/>
      </c:barChart>
      <c:catAx>
        <c:axId val="463844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41680"/>
        <c:crosses val="autoZero"/>
        <c:auto val="1"/>
        <c:lblAlgn val="ctr"/>
        <c:lblOffset val="100"/>
        <c:noMultiLvlLbl val="0"/>
      </c:catAx>
      <c:valAx>
        <c:axId val="46384168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844424"/>
        <c:crosses val="autoZero"/>
        <c:crossBetween val="between"/>
      </c:valAx>
      <c:spPr>
        <a:noFill/>
        <a:ln>
          <a:noFill/>
        </a:ln>
        <a:effectLst/>
      </c:spPr>
    </c:plotArea>
    <c:legend>
      <c:legendPos val="b"/>
      <c:layout>
        <c:manualLayout>
          <c:xMode val="edge"/>
          <c:yMode val="edge"/>
          <c:x val="0.61529510923810582"/>
          <c:y val="9.313646744359743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三財地区</c:v>
                </c:pt>
              </c:strCache>
            </c:strRef>
          </c:cat>
          <c:val>
            <c:numRef>
              <c:f>管理者用地域特徴シート!$CK$3:$CK$5</c:f>
              <c:numCache>
                <c:formatCode>0.0%</c:formatCode>
                <c:ptCount val="3"/>
                <c:pt idx="0">
                  <c:v>0.82747216160708559</c:v>
                </c:pt>
                <c:pt idx="1">
                  <c:v>0.67861980466243677</c:v>
                </c:pt>
                <c:pt idx="2">
                  <c:v>0.71085714285714285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990000"/>
        <c:axId val="463987256"/>
      </c:barChart>
      <c:catAx>
        <c:axId val="4639900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87256"/>
        <c:crosses val="autoZero"/>
        <c:auto val="1"/>
        <c:lblAlgn val="ctr"/>
        <c:lblOffset val="100"/>
        <c:noMultiLvlLbl val="0"/>
      </c:catAx>
      <c:valAx>
        <c:axId val="4639872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900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0.35</c:v>
                </c:pt>
                <c:pt idx="1">
                  <c:v>0.4</c:v>
                </c:pt>
                <c:pt idx="2">
                  <c:v>0.47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4292912"/>
        <c:axId val="394292128"/>
      </c:barChart>
      <c:catAx>
        <c:axId val="394292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92128"/>
        <c:crosses val="autoZero"/>
        <c:auto val="1"/>
        <c:lblAlgn val="ctr"/>
        <c:lblOffset val="100"/>
        <c:noMultiLvlLbl val="0"/>
      </c:catAx>
      <c:valAx>
        <c:axId val="394292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929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0.21</c:v>
                </c:pt>
                <c:pt idx="1">
                  <c:v>0.23</c:v>
                </c:pt>
                <c:pt idx="2">
                  <c:v>0.25</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338952"/>
        <c:axId val="398337384"/>
      </c:barChart>
      <c:catAx>
        <c:axId val="398338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7384"/>
        <c:crosses val="autoZero"/>
        <c:auto val="1"/>
        <c:lblAlgn val="ctr"/>
        <c:lblOffset val="100"/>
        <c:noMultiLvlLbl val="0"/>
      </c:catAx>
      <c:valAx>
        <c:axId val="398337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89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4010556144619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6C7-4991-9466-ED83648AE533}"/>
                </c:ext>
                <c:ext xmlns:c15="http://schemas.microsoft.com/office/drawing/2012/chart" uri="{CE6537A1-D6FC-4f65-9D91-7224C49458BB}"/>
              </c:extLst>
            </c:dLbl>
            <c:dLbl>
              <c:idx val="20"/>
              <c:layout>
                <c:manualLayout>
                  <c:x val="-4.0225628261781349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6C7-4991-9466-ED83648AE53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62</c:v>
                </c:pt>
                <c:pt idx="1">
                  <c:v>81</c:v>
                </c:pt>
                <c:pt idx="2">
                  <c:v>72</c:v>
                </c:pt>
                <c:pt idx="3">
                  <c:v>66</c:v>
                </c:pt>
                <c:pt idx="4">
                  <c:v>76</c:v>
                </c:pt>
                <c:pt idx="5">
                  <c:v>81</c:v>
                </c:pt>
                <c:pt idx="6">
                  <c:v>86</c:v>
                </c:pt>
                <c:pt idx="7">
                  <c:v>91</c:v>
                </c:pt>
                <c:pt idx="8">
                  <c:v>85</c:v>
                </c:pt>
                <c:pt idx="9">
                  <c:v>97</c:v>
                </c:pt>
                <c:pt idx="10">
                  <c:v>139</c:v>
                </c:pt>
                <c:pt idx="11">
                  <c:v>203</c:v>
                </c:pt>
                <c:pt idx="12">
                  <c:v>182</c:v>
                </c:pt>
                <c:pt idx="13">
                  <c:v>136</c:v>
                </c:pt>
                <c:pt idx="14">
                  <c:v>114</c:v>
                </c:pt>
                <c:pt idx="15">
                  <c:v>141</c:v>
                </c:pt>
                <c:pt idx="16">
                  <c:v>128</c:v>
                </c:pt>
                <c:pt idx="17">
                  <c:v>50</c:v>
                </c:pt>
                <c:pt idx="18">
                  <c:v>19</c:v>
                </c:pt>
                <c:pt idx="19">
                  <c:v>3</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333464"/>
        <c:axId val="39833268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44</c:v>
                </c:pt>
                <c:pt idx="1">
                  <c:v>65</c:v>
                </c:pt>
                <c:pt idx="2">
                  <c:v>74</c:v>
                </c:pt>
                <c:pt idx="3">
                  <c:v>65</c:v>
                </c:pt>
                <c:pt idx="4">
                  <c:v>73</c:v>
                </c:pt>
                <c:pt idx="5">
                  <c:v>91</c:v>
                </c:pt>
                <c:pt idx="6">
                  <c:v>82</c:v>
                </c:pt>
                <c:pt idx="7">
                  <c:v>95</c:v>
                </c:pt>
                <c:pt idx="8">
                  <c:v>75</c:v>
                </c:pt>
                <c:pt idx="9">
                  <c:v>94</c:v>
                </c:pt>
                <c:pt idx="10">
                  <c:v>163</c:v>
                </c:pt>
                <c:pt idx="11">
                  <c:v>189</c:v>
                </c:pt>
                <c:pt idx="12">
                  <c:v>197</c:v>
                </c:pt>
                <c:pt idx="13">
                  <c:v>156</c:v>
                </c:pt>
                <c:pt idx="14">
                  <c:v>153</c:v>
                </c:pt>
                <c:pt idx="15">
                  <c:v>178</c:v>
                </c:pt>
                <c:pt idx="16">
                  <c:v>167</c:v>
                </c:pt>
                <c:pt idx="17">
                  <c:v>113</c:v>
                </c:pt>
                <c:pt idx="18">
                  <c:v>45</c:v>
                </c:pt>
                <c:pt idx="19">
                  <c:v>21</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338560"/>
        <c:axId val="398334248"/>
      </c:barChart>
      <c:catAx>
        <c:axId val="3983334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2680"/>
        <c:crosses val="autoZero"/>
        <c:auto val="1"/>
        <c:lblAlgn val="ctr"/>
        <c:lblOffset val="100"/>
        <c:noMultiLvlLbl val="0"/>
      </c:catAx>
      <c:valAx>
        <c:axId val="39833268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3464"/>
        <c:crosses val="autoZero"/>
        <c:crossBetween val="between"/>
        <c:majorUnit val="150"/>
      </c:valAx>
      <c:valAx>
        <c:axId val="39833424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8560"/>
        <c:crosses val="max"/>
        <c:crossBetween val="between"/>
        <c:majorUnit val="150"/>
      </c:valAx>
      <c:catAx>
        <c:axId val="398338560"/>
        <c:scaling>
          <c:orientation val="minMax"/>
        </c:scaling>
        <c:delete val="1"/>
        <c:axPos val="l"/>
        <c:numFmt formatCode="General" sourceLinked="1"/>
        <c:majorTickMark val="out"/>
        <c:minorTickMark val="none"/>
        <c:tickLblPos val="nextTo"/>
        <c:crossAx val="3983342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1913</c:v>
                </c:pt>
                <c:pt idx="1">
                  <c:v>1724</c:v>
                </c:pt>
                <c:pt idx="2">
                  <c:v>1514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2143</c:v>
                </c:pt>
                <c:pt idx="1">
                  <c:v>1933</c:v>
                </c:pt>
                <c:pt idx="2">
                  <c:v>1731</c:v>
                </c:pt>
              </c:numCache>
            </c:numRef>
          </c:val>
          <c:extLst xmlns:c16r2="http://schemas.microsoft.com/office/drawing/2015/06/chart">
            <c:ext xmlns:c16="http://schemas.microsoft.com/office/drawing/2014/chart" uri="{C3380CC4-5D6E-409C-BE32-E72D297353CC}">
              <c16:uniqueId val="{00000000-B7C7-40E4-9C70-810B6C99E298}"/>
            </c:ext>
          </c:extLst>
        </c:ser>
        <c:dLbls>
          <c:showLegendKey val="0"/>
          <c:showVal val="0"/>
          <c:showCatName val="0"/>
          <c:showSerName val="0"/>
          <c:showPercent val="0"/>
          <c:showBubbleSize val="0"/>
        </c:dLbls>
        <c:gapWidth val="219"/>
        <c:overlap val="100"/>
        <c:axId val="398336208"/>
        <c:axId val="39833189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7.2063956248209729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7C7-40E4-9C70-810B6C99E29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4056</c:v>
                </c:pt>
                <c:pt idx="1">
                  <c:v>3657</c:v>
                </c:pt>
                <c:pt idx="2">
                  <c:v>3245</c:v>
                </c:pt>
              </c:numCache>
            </c:numRef>
          </c:val>
          <c:smooth val="0"/>
          <c:extLst xmlns:c16r2="http://schemas.microsoft.com/office/drawing/2015/06/chart">
            <c:ext xmlns:c16="http://schemas.microsoft.com/office/drawing/2014/chart" uri="{C3380CC4-5D6E-409C-BE32-E72D297353CC}">
              <c16:uniqueId val="{00000002-B7C7-40E4-9C70-810B6C99E298}"/>
            </c:ext>
          </c:extLst>
        </c:ser>
        <c:dLbls>
          <c:showLegendKey val="0"/>
          <c:showVal val="0"/>
          <c:showCatName val="0"/>
          <c:showSerName val="0"/>
          <c:showPercent val="0"/>
          <c:showBubbleSize val="0"/>
        </c:dLbls>
        <c:marker val="1"/>
        <c:smooth val="0"/>
        <c:axId val="398336208"/>
        <c:axId val="398331896"/>
      </c:lineChart>
      <c:catAx>
        <c:axId val="398336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1896"/>
        <c:crosses val="autoZero"/>
        <c:auto val="1"/>
        <c:lblAlgn val="ctr"/>
        <c:lblOffset val="100"/>
        <c:noMultiLvlLbl val="0"/>
      </c:catAx>
      <c:valAx>
        <c:axId val="3983318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620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106236736497476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D85-4F42-9C88-09AE45B2ADE0}"/>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D85-4F42-9C88-09AE45B2ADE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30</c:v>
                </c:pt>
                <c:pt idx="1">
                  <c:v>49</c:v>
                </c:pt>
                <c:pt idx="2">
                  <c:v>63</c:v>
                </c:pt>
                <c:pt idx="3">
                  <c:v>67</c:v>
                </c:pt>
                <c:pt idx="4">
                  <c:v>29</c:v>
                </c:pt>
                <c:pt idx="5">
                  <c:v>30</c:v>
                </c:pt>
                <c:pt idx="6">
                  <c:v>53</c:v>
                </c:pt>
                <c:pt idx="7">
                  <c:v>64</c:v>
                </c:pt>
                <c:pt idx="8">
                  <c:v>83</c:v>
                </c:pt>
                <c:pt idx="9">
                  <c:v>94</c:v>
                </c:pt>
                <c:pt idx="10">
                  <c:v>75</c:v>
                </c:pt>
                <c:pt idx="11">
                  <c:v>101</c:v>
                </c:pt>
                <c:pt idx="12">
                  <c:v>140</c:v>
                </c:pt>
                <c:pt idx="13">
                  <c:v>186</c:v>
                </c:pt>
                <c:pt idx="14">
                  <c:v>158</c:v>
                </c:pt>
                <c:pt idx="15">
                  <c:v>106</c:v>
                </c:pt>
                <c:pt idx="16">
                  <c:v>85</c:v>
                </c:pt>
                <c:pt idx="17">
                  <c:v>57</c:v>
                </c:pt>
                <c:pt idx="18">
                  <c:v>34</c:v>
                </c:pt>
                <c:pt idx="19">
                  <c:v>10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336992"/>
        <c:axId val="3983381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38</c:v>
                </c:pt>
                <c:pt idx="1">
                  <c:v>43</c:v>
                </c:pt>
                <c:pt idx="2">
                  <c:v>46</c:v>
                </c:pt>
                <c:pt idx="3">
                  <c:v>44</c:v>
                </c:pt>
                <c:pt idx="4">
                  <c:v>32</c:v>
                </c:pt>
                <c:pt idx="5">
                  <c:v>32</c:v>
                </c:pt>
                <c:pt idx="6">
                  <c:v>60</c:v>
                </c:pt>
                <c:pt idx="7">
                  <c:v>68</c:v>
                </c:pt>
                <c:pt idx="8">
                  <c:v>74</c:v>
                </c:pt>
                <c:pt idx="9">
                  <c:v>82</c:v>
                </c:pt>
                <c:pt idx="10">
                  <c:v>71</c:v>
                </c:pt>
                <c:pt idx="11">
                  <c:v>103</c:v>
                </c:pt>
                <c:pt idx="12">
                  <c:v>160</c:v>
                </c:pt>
                <c:pt idx="13">
                  <c:v>185</c:v>
                </c:pt>
                <c:pt idx="14">
                  <c:v>189</c:v>
                </c:pt>
                <c:pt idx="15">
                  <c:v>143</c:v>
                </c:pt>
                <c:pt idx="16">
                  <c:v>128</c:v>
                </c:pt>
                <c:pt idx="17">
                  <c:v>126</c:v>
                </c:pt>
                <c:pt idx="18">
                  <c:v>77</c:v>
                </c:pt>
                <c:pt idx="19">
                  <c:v>27</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333072"/>
        <c:axId val="398332288"/>
      </c:barChart>
      <c:catAx>
        <c:axId val="398336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8168"/>
        <c:crosses val="autoZero"/>
        <c:auto val="1"/>
        <c:lblAlgn val="ctr"/>
        <c:lblOffset val="100"/>
        <c:noMultiLvlLbl val="0"/>
      </c:catAx>
      <c:valAx>
        <c:axId val="39833816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6992"/>
        <c:crosses val="autoZero"/>
        <c:crossBetween val="between"/>
        <c:majorUnit val="150"/>
      </c:valAx>
      <c:valAx>
        <c:axId val="39833228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3072"/>
        <c:crosses val="max"/>
        <c:crossBetween val="between"/>
        <c:majorUnit val="150"/>
      </c:valAx>
      <c:catAx>
        <c:axId val="398333072"/>
        <c:scaling>
          <c:orientation val="minMax"/>
        </c:scaling>
        <c:delete val="1"/>
        <c:axPos val="l"/>
        <c:numFmt formatCode="General" sourceLinked="1"/>
        <c:majorTickMark val="out"/>
        <c:minorTickMark val="none"/>
        <c:tickLblPos val="nextTo"/>
        <c:crossAx val="3983322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B198-4DC4-A74C-2D928CBCC560}"/>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B198-4DC4-A74C-2D928CBCC560}"/>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B198-4DC4-A74C-2D928CBCC560}"/>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198-4DC4-A74C-2D928CBCC560}"/>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198-4DC4-A74C-2D928CBCC56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1913</c:v>
                </c:pt>
                <c:pt idx="1">
                  <c:v>1724</c:v>
                </c:pt>
                <c:pt idx="2">
                  <c:v>1514</c:v>
                </c:pt>
                <c:pt idx="3">
                  <c:v>1318</c:v>
                </c:pt>
                <c:pt idx="4">
                  <c:v>1122</c:v>
                </c:pt>
                <c:pt idx="5">
                  <c:v>941</c:v>
                </c:pt>
                <c:pt idx="6">
                  <c:v>778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B198-4DC4-A74C-2D928CBCC560}"/>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B198-4DC4-A74C-2D928CBCC560}"/>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B198-4DC4-A74C-2D928CBCC560}"/>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2143</c:v>
                </c:pt>
                <c:pt idx="1">
                  <c:v>1933</c:v>
                </c:pt>
                <c:pt idx="2">
                  <c:v>1731</c:v>
                </c:pt>
                <c:pt idx="3">
                  <c:v>1527</c:v>
                </c:pt>
                <c:pt idx="4">
                  <c:v>1331</c:v>
                </c:pt>
                <c:pt idx="5">
                  <c:v>1142</c:v>
                </c:pt>
                <c:pt idx="6">
                  <c:v>960</c:v>
                </c:pt>
              </c:numCache>
            </c:numRef>
          </c:val>
          <c:extLst xmlns:c16r2="http://schemas.microsoft.com/office/drawing/2015/06/chart">
            <c:ext xmlns:c16="http://schemas.microsoft.com/office/drawing/2014/chart" uri="{C3380CC4-5D6E-409C-BE32-E72D297353CC}">
              <c16:uniqueId val="{00000010-B198-4DC4-A74C-2D928CBCC560}"/>
            </c:ext>
          </c:extLst>
        </c:ser>
        <c:dLbls>
          <c:showLegendKey val="0"/>
          <c:showVal val="0"/>
          <c:showCatName val="0"/>
          <c:showSerName val="0"/>
          <c:showPercent val="0"/>
          <c:showBubbleSize val="0"/>
        </c:dLbls>
        <c:gapWidth val="219"/>
        <c:overlap val="100"/>
        <c:axId val="398333856"/>
        <c:axId val="39833503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4056</c:v>
                </c:pt>
                <c:pt idx="1">
                  <c:v>3657</c:v>
                </c:pt>
                <c:pt idx="2">
                  <c:v>3245</c:v>
                </c:pt>
                <c:pt idx="3">
                  <c:v>2845</c:v>
                </c:pt>
                <c:pt idx="4">
                  <c:v>2453</c:v>
                </c:pt>
                <c:pt idx="5">
                  <c:v>2083</c:v>
                </c:pt>
                <c:pt idx="6">
                  <c:v>1738</c:v>
                </c:pt>
              </c:numCache>
            </c:numRef>
          </c:val>
          <c:smooth val="0"/>
          <c:extLst xmlns:c16r2="http://schemas.microsoft.com/office/drawing/2015/06/chart">
            <c:ext xmlns:c16="http://schemas.microsoft.com/office/drawing/2014/chart" uri="{C3380CC4-5D6E-409C-BE32-E72D297353CC}">
              <c16:uniqueId val="{00000011-B198-4DC4-A74C-2D928CBCC560}"/>
            </c:ext>
          </c:extLst>
        </c:ser>
        <c:dLbls>
          <c:showLegendKey val="0"/>
          <c:showVal val="0"/>
          <c:showCatName val="0"/>
          <c:showSerName val="0"/>
          <c:showPercent val="0"/>
          <c:showBubbleSize val="0"/>
        </c:dLbls>
        <c:marker val="1"/>
        <c:smooth val="0"/>
        <c:axId val="398333856"/>
        <c:axId val="398335032"/>
      </c:lineChart>
      <c:catAx>
        <c:axId val="398333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5032"/>
        <c:crosses val="autoZero"/>
        <c:auto val="1"/>
        <c:lblAlgn val="ctr"/>
        <c:lblOffset val="100"/>
        <c:noMultiLvlLbl val="0"/>
      </c:catAx>
      <c:valAx>
        <c:axId val="3983350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385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175</c:v>
                </c:pt>
                <c:pt idx="1">
                  <c:v>150</c:v>
                </c:pt>
                <c:pt idx="2">
                  <c:v>121</c:v>
                </c:pt>
                <c:pt idx="3">
                  <c:v>98</c:v>
                </c:pt>
                <c:pt idx="4">
                  <c:v>73</c:v>
                </c:pt>
                <c:pt idx="5">
                  <c:v>50</c:v>
                </c:pt>
                <c:pt idx="6">
                  <c:v>37</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4295656"/>
        <c:axId val="398336600"/>
      </c:barChart>
      <c:catAx>
        <c:axId val="394295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336600"/>
        <c:crosses val="autoZero"/>
        <c:auto val="1"/>
        <c:lblAlgn val="ctr"/>
        <c:lblOffset val="100"/>
        <c:noMultiLvlLbl val="0"/>
      </c:catAx>
      <c:valAx>
        <c:axId val="3983366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2956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三財地区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2"/>
  <sheetViews>
    <sheetView zoomScaleNormal="100" workbookViewId="0">
      <pane ySplit="6" topLeftCell="A7" activePane="bottomLeft" state="frozen"/>
      <selection activeCell="B2" sqref="B2"/>
      <selection pane="bottomLeft" activeCell="B1" sqref="B1:B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西都市平均</v>
      </c>
      <c r="C4" s="88" t="str">
        <f>B4</f>
        <v>西都市平均</v>
      </c>
      <c r="D4" s="185">
        <f>SUM(D7:D70)</f>
        <v>11744</v>
      </c>
      <c r="E4" s="186">
        <f>SUM(E7:E70)</f>
        <v>6653</v>
      </c>
      <c r="F4" s="186">
        <f>SUM(F7:F70)</f>
        <v>2053</v>
      </c>
      <c r="G4" s="187">
        <f>SUM(G7:G70)</f>
        <v>2104</v>
      </c>
      <c r="H4" s="148">
        <f>E4/D4</f>
        <v>0.56650204359673029</v>
      </c>
      <c r="I4" s="149">
        <f>F4/D4</f>
        <v>0.17481267029972752</v>
      </c>
      <c r="J4" s="150">
        <f>G4/D4</f>
        <v>0.17915531335149865</v>
      </c>
      <c r="K4" s="185">
        <f>SUM(K7:K70)</f>
        <v>28610</v>
      </c>
      <c r="L4" s="186">
        <f>SUM(L7:L70)</f>
        <v>4264</v>
      </c>
      <c r="M4" s="186">
        <f>SUM(M7:M70)</f>
        <v>7952</v>
      </c>
      <c r="N4" s="187">
        <f>SUM(N7:N70)</f>
        <v>14559</v>
      </c>
      <c r="O4" s="148">
        <f>L4/K4</f>
        <v>0.14903879762320868</v>
      </c>
      <c r="P4" s="149">
        <f>M4/K4</f>
        <v>0.27794477455435163</v>
      </c>
      <c r="Q4" s="150">
        <f>N4/K4</f>
        <v>0.50887801468018179</v>
      </c>
      <c r="R4" s="185">
        <f>SUM(R7:R70)</f>
        <v>28610</v>
      </c>
      <c r="S4" s="145">
        <f>SUM(S7:S70)</f>
        <v>2719</v>
      </c>
      <c r="T4" s="145">
        <f>SUM(T7:T70)</f>
        <v>1494</v>
      </c>
      <c r="U4" s="144">
        <f>SUM(U7:U70)</f>
        <v>604</v>
      </c>
      <c r="V4" s="144">
        <f>SUM(V7:V70)</f>
        <v>44</v>
      </c>
      <c r="W4" s="146">
        <f>S4+T4+U4+V4</f>
        <v>4861</v>
      </c>
      <c r="X4" s="143">
        <f>SUM(X7:X70)</f>
        <v>13423</v>
      </c>
      <c r="Y4" s="144">
        <f>SUM(Y7:Y70)</f>
        <v>1167</v>
      </c>
      <c r="Z4" s="144">
        <f>SUM(Z7:Z70)</f>
        <v>687</v>
      </c>
      <c r="AA4" s="144">
        <f>SUM(AA7:AA70)</f>
        <v>323</v>
      </c>
      <c r="AB4" s="144">
        <f>SUM(AB7:AB70)</f>
        <v>22</v>
      </c>
      <c r="AC4" s="146">
        <f>Y4+Z4+AA4+AB4</f>
        <v>2199</v>
      </c>
      <c r="AD4" s="143">
        <f>SUM(AD7:AD70)</f>
        <v>15187</v>
      </c>
      <c r="AE4" s="143">
        <f t="shared" ref="AE4:AH4" si="0">SUM(AE7:AE70)</f>
        <v>1552</v>
      </c>
      <c r="AF4" s="143">
        <f t="shared" si="0"/>
        <v>807</v>
      </c>
      <c r="AG4" s="143">
        <f t="shared" si="0"/>
        <v>281</v>
      </c>
      <c r="AH4" s="143">
        <f t="shared" si="0"/>
        <v>22</v>
      </c>
      <c r="AI4" s="146">
        <f>AE4+AF4+AG4+AH4</f>
        <v>2662</v>
      </c>
      <c r="AJ4" s="148">
        <f>W4/R4</f>
        <v>0.16990562740300594</v>
      </c>
      <c r="AK4" s="149">
        <f>T4/W4</f>
        <v>0.30734416786669411</v>
      </c>
      <c r="AL4" s="149">
        <f>U4/W4</f>
        <v>0.12425426866899815</v>
      </c>
      <c r="AM4" s="149">
        <f>V4/W4</f>
        <v>9.0516354659535073E-3</v>
      </c>
      <c r="AN4" s="147">
        <f>AC4/W4</f>
        <v>0.45237605430981281</v>
      </c>
      <c r="AO4" s="150">
        <f>AI4/W4</f>
        <v>0.54762394569018724</v>
      </c>
      <c r="AP4" s="143">
        <f>SUM(AP7:AP70)</f>
        <v>14027</v>
      </c>
      <c r="AQ4" s="144">
        <f t="shared" ref="AQ4:BI4" si="1">SUM(AQ7:AQ70)</f>
        <v>3110</v>
      </c>
      <c r="AR4" s="144">
        <f t="shared" si="1"/>
        <v>22</v>
      </c>
      <c r="AS4" s="144">
        <f t="shared" si="1"/>
        <v>4</v>
      </c>
      <c r="AT4" s="144">
        <f t="shared" si="1"/>
        <v>1150</v>
      </c>
      <c r="AU4" s="144">
        <f t="shared" si="1"/>
        <v>1695</v>
      </c>
      <c r="AV4" s="144">
        <f t="shared" si="1"/>
        <v>46</v>
      </c>
      <c r="AW4" s="144">
        <f t="shared" si="1"/>
        <v>76</v>
      </c>
      <c r="AX4" s="144">
        <f t="shared" si="1"/>
        <v>402</v>
      </c>
      <c r="AY4" s="144">
        <f t="shared" si="1"/>
        <v>1613</v>
      </c>
      <c r="AZ4" s="144">
        <f t="shared" si="1"/>
        <v>163</v>
      </c>
      <c r="BA4" s="144">
        <f t="shared" si="1"/>
        <v>86</v>
      </c>
      <c r="BB4" s="144">
        <f t="shared" si="1"/>
        <v>188</v>
      </c>
      <c r="BC4" s="144">
        <f t="shared" si="1"/>
        <v>514</v>
      </c>
      <c r="BD4" s="144">
        <f t="shared" si="1"/>
        <v>449</v>
      </c>
      <c r="BE4" s="144">
        <f t="shared" si="1"/>
        <v>435</v>
      </c>
      <c r="BF4" s="144">
        <f t="shared" si="1"/>
        <v>1880</v>
      </c>
      <c r="BG4" s="144">
        <f t="shared" si="1"/>
        <v>356</v>
      </c>
      <c r="BH4" s="144">
        <f t="shared" si="1"/>
        <v>737</v>
      </c>
      <c r="BI4" s="146">
        <f t="shared" si="1"/>
        <v>587</v>
      </c>
      <c r="BJ4" s="147">
        <f>IF($AP4=0,0,AQ4/$AP4)</f>
        <v>0.22171526342054609</v>
      </c>
      <c r="BK4" s="149">
        <f t="shared" ref="BK4:CB4" si="2">IF($AP4=0,0,AR4/$AP4)</f>
        <v>1.5684037926855349E-3</v>
      </c>
      <c r="BL4" s="149">
        <f t="shared" si="2"/>
        <v>2.8516432594282457E-4</v>
      </c>
      <c r="BM4" s="149">
        <f t="shared" si="2"/>
        <v>8.1984743708562055E-2</v>
      </c>
      <c r="BN4" s="149">
        <f t="shared" si="2"/>
        <v>0.1208383831182719</v>
      </c>
      <c r="BO4" s="149">
        <f t="shared" si="2"/>
        <v>3.2793897483424823E-3</v>
      </c>
      <c r="BP4" s="149">
        <f t="shared" si="2"/>
        <v>5.4181221929136669E-3</v>
      </c>
      <c r="BQ4" s="149">
        <f t="shared" si="2"/>
        <v>2.8659014757253867E-2</v>
      </c>
      <c r="BR4" s="149">
        <f t="shared" si="2"/>
        <v>0.114992514436444</v>
      </c>
      <c r="BS4" s="149">
        <f t="shared" si="2"/>
        <v>1.1620446282170101E-2</v>
      </c>
      <c r="BT4" s="149">
        <f t="shared" si="2"/>
        <v>6.1310330077707278E-3</v>
      </c>
      <c r="BU4" s="149">
        <f t="shared" si="2"/>
        <v>1.3402723319312753E-2</v>
      </c>
      <c r="BV4" s="149">
        <f t="shared" si="2"/>
        <v>3.6643615883652954E-2</v>
      </c>
      <c r="BW4" s="149">
        <f t="shared" si="2"/>
        <v>3.2009695587082054E-2</v>
      </c>
      <c r="BX4" s="149">
        <f t="shared" si="2"/>
        <v>3.1011620446282171E-2</v>
      </c>
      <c r="BY4" s="149">
        <f t="shared" si="2"/>
        <v>0.13402723319312754</v>
      </c>
      <c r="BZ4" s="149">
        <f t="shared" si="2"/>
        <v>2.5379625008911385E-2</v>
      </c>
      <c r="CA4" s="149">
        <f t="shared" si="2"/>
        <v>5.2541527054965426E-2</v>
      </c>
      <c r="CB4" s="150">
        <f t="shared" si="2"/>
        <v>4.1847864832109505E-2</v>
      </c>
      <c r="CC4" s="143">
        <f>SUM(CC7:CC70)</f>
        <v>14027</v>
      </c>
      <c r="CD4" s="144">
        <f t="shared" ref="CD4:CI4" si="3">SUM(CD7:CD70)</f>
        <v>9519</v>
      </c>
      <c r="CE4" s="144">
        <f t="shared" si="3"/>
        <v>4166</v>
      </c>
      <c r="CF4" s="144">
        <f t="shared" si="3"/>
        <v>35</v>
      </c>
      <c r="CG4" s="143">
        <f t="shared" si="3"/>
        <v>1143</v>
      </c>
      <c r="CH4" s="144">
        <f t="shared" si="3"/>
        <v>645</v>
      </c>
      <c r="CI4" s="144">
        <f t="shared" si="3"/>
        <v>438</v>
      </c>
      <c r="CJ4" s="144">
        <f>SUM(CJ7:CJ70)</f>
        <v>14</v>
      </c>
      <c r="CK4" s="148">
        <f t="shared" ref="CK4:CM4" si="4">IF($CC4=0,0,CD4/$CC4)</f>
        <v>0.67861980466243677</v>
      </c>
      <c r="CL4" s="149">
        <f t="shared" si="4"/>
        <v>0.29699864546945176</v>
      </c>
      <c r="CM4" s="150">
        <f t="shared" si="4"/>
        <v>2.495187851999715E-3</v>
      </c>
      <c r="CN4" s="148">
        <f t="shared" ref="CN4:CP4" si="5">IF($CG4=0,0,CH4/$CG4)</f>
        <v>0.56430446194225725</v>
      </c>
      <c r="CO4" s="149">
        <f t="shared" si="5"/>
        <v>0.38320209973753283</v>
      </c>
      <c r="CP4" s="150">
        <f t="shared" si="5"/>
        <v>1.2248468941382326E-2</v>
      </c>
    </row>
    <row r="5" spans="1:94" s="181" customFormat="1" x14ac:dyDescent="0.15">
      <c r="A5" s="183" t="str">
        <f>管理者入力シート!B2</f>
        <v>45208_6</v>
      </c>
      <c r="B5" s="201" t="str">
        <f>VLOOKUP($A$5,$A$7:$CP$50,2,FALSE)</f>
        <v>西都市</v>
      </c>
      <c r="C5" s="201" t="str">
        <f>VLOOKUP($A$5,$A$7:$CP$50,3,FALSE)</f>
        <v>三財地区</v>
      </c>
      <c r="D5" s="188">
        <f>VLOOKUP($A$5,$A$7:$CP$70,4,FALSE)</f>
        <v>1325</v>
      </c>
      <c r="E5" s="189">
        <f>VLOOKUP($A$5,$A$7:$CP$70,5,FALSE)</f>
        <v>933</v>
      </c>
      <c r="F5" s="189">
        <f>VLOOKUP($A$5,$A$7:$CP$70,6,FALSE)</f>
        <v>292</v>
      </c>
      <c r="G5" s="190">
        <f>VLOOKUP($A$5,$A$7:$CP$70,7,FALSE)</f>
        <v>261</v>
      </c>
      <c r="H5" s="178">
        <f>VLOOKUP($A$5,$A$7:$CP$70,8,FALSE)</f>
        <v>0.70415094339622641</v>
      </c>
      <c r="I5" s="179">
        <f>VLOOKUP($A$5,$A$7:$CP$70,9,FALSE)</f>
        <v>0.22037735849056603</v>
      </c>
      <c r="J5" s="180">
        <f>VLOOKUP($A$5,$A$7:$CP$70,10,FALSE)</f>
        <v>0.19698113207547169</v>
      </c>
      <c r="K5" s="188">
        <f>VLOOKUP($A$5,$A$7:$CP$70,11,FALSE)</f>
        <v>3250</v>
      </c>
      <c r="L5" s="189">
        <f>VLOOKUP($A$5,$A$7:$CP$70,12,FALSE)</f>
        <v>654</v>
      </c>
      <c r="M5" s="189">
        <f>VLOOKUP($A$5,$A$7:$CP$70,13,FALSE)</f>
        <v>567</v>
      </c>
      <c r="N5" s="190">
        <f>VLOOKUP($A$5,$A$7:$CP$70,14,FALSE)</f>
        <v>1905</v>
      </c>
      <c r="O5" s="178">
        <f>VLOOKUP($A$5,$A$7:$CP$70,15,FALSE)</f>
        <v>0.20123076923076924</v>
      </c>
      <c r="P5" s="179">
        <f>VLOOKUP($A$5,$A$7:$CP$70,16,FALSE)</f>
        <v>0.17446153846153847</v>
      </c>
      <c r="Q5" s="180">
        <f>VLOOKUP($A$5,$A$7:$CP$70,17,FALSE)</f>
        <v>0.58615384615384614</v>
      </c>
      <c r="R5" s="188">
        <f>VLOOKUP($A$5,$A$7:$CP$70,18,FALSE)</f>
        <v>3250</v>
      </c>
      <c r="S5" s="189">
        <f>VLOOKUP($A$5,$A$7:$CP$70,19,FALSE)</f>
        <v>210</v>
      </c>
      <c r="T5" s="189">
        <f>VLOOKUP($A$5,$A$7:$CP$70,20,FALSE)</f>
        <v>72</v>
      </c>
      <c r="U5" s="189">
        <f>VLOOKUP($A$5,$A$7:$CP$70,21,FALSE)</f>
        <v>33</v>
      </c>
      <c r="V5" s="189">
        <f>VLOOKUP($A$5,$A$7:$CP$70,22,FALSE)</f>
        <v>3</v>
      </c>
      <c r="W5" s="190">
        <f>VLOOKUP($A$5,$A$7:$CP$70,23,FALSE)</f>
        <v>318</v>
      </c>
      <c r="X5" s="188">
        <f>VLOOKUP($A$5,$A$7:$CP$70,24,FALSE)</f>
        <v>1516</v>
      </c>
      <c r="Y5" s="189">
        <f>VLOOKUP($A$5,$A$7:$CP$70,25,FALSE)</f>
        <v>77</v>
      </c>
      <c r="Z5" s="189">
        <f>VLOOKUP($A$5,$A$7:$CP$70,26,FALSE)</f>
        <v>35</v>
      </c>
      <c r="AA5" s="189">
        <f>VLOOKUP($A$5,$A$7:$CP$70,27,FALSE)</f>
        <v>15</v>
      </c>
      <c r="AB5" s="189">
        <f>VLOOKUP($A$5,$A$7:$CP$70,28,FALSE)</f>
        <v>0</v>
      </c>
      <c r="AC5" s="191">
        <f>VLOOKUP($A$5,$A$7:$CP$70,29,FALSE)</f>
        <v>127</v>
      </c>
      <c r="AD5" s="188">
        <f>VLOOKUP($A$5,$A$7:$CP$70,30,FALSE)</f>
        <v>1734</v>
      </c>
      <c r="AE5" s="189">
        <f>VLOOKUP($A$5,$A$7:$CP$70,31,FALSE)</f>
        <v>133</v>
      </c>
      <c r="AF5" s="189">
        <f>VLOOKUP($A$5,$A$7:$CP$70,32,FALSE)</f>
        <v>37</v>
      </c>
      <c r="AG5" s="189">
        <f>VLOOKUP($A$5,$A$7:$CP$70,33,FALSE)</f>
        <v>18</v>
      </c>
      <c r="AH5" s="189">
        <f>VLOOKUP($A$5,$A$7:$CP$70,34,FALSE)</f>
        <v>3</v>
      </c>
      <c r="AI5" s="191">
        <f>VLOOKUP($A$5,$A$7:$CP$70,35,FALSE)</f>
        <v>191</v>
      </c>
      <c r="AJ5" s="178">
        <f>VLOOKUP($A$5,$A$7:$CP$70,36,FALSE)</f>
        <v>9.7846153846153847E-2</v>
      </c>
      <c r="AK5" s="179">
        <f>VLOOKUP($A$5,$A$7:$CP$70,37,FALSE)</f>
        <v>0.22641509433962265</v>
      </c>
      <c r="AL5" s="179">
        <f>VLOOKUP($A$5,$A$7:$CP$70,38,FALSE)</f>
        <v>0.10377358490566038</v>
      </c>
      <c r="AM5" s="179">
        <f>VLOOKUP($A$5,$A$7:$CP$70,39,FALSE)</f>
        <v>9.433962264150943E-3</v>
      </c>
      <c r="AN5" s="182">
        <f>VLOOKUP($A$5,$A$7:$CP$70,40,FALSE)</f>
        <v>0.39937106918238996</v>
      </c>
      <c r="AO5" s="180">
        <f>VLOOKUP($A$5,$A$7:$CP$70,41,FALSE)</f>
        <v>0.60062893081761004</v>
      </c>
      <c r="AP5" s="192">
        <f>VLOOKUP($A$5,$A$7:$CP$70,42,FALSE)</f>
        <v>1750</v>
      </c>
      <c r="AQ5" s="189">
        <f>VLOOKUP($A$5,$A$7:$CP$70,43,FALSE)</f>
        <v>622</v>
      </c>
      <c r="AR5" s="189">
        <f>VLOOKUP($A$5,$A$7:$CP$70,44,FALSE)</f>
        <v>1</v>
      </c>
      <c r="AS5" s="189">
        <f>VLOOKUP($A$5,$A$7:$CP$70,45,FALSE)</f>
        <v>0</v>
      </c>
      <c r="AT5" s="189">
        <f>VLOOKUP($A$5,$A$7:$CP$70,46,FALSE)</f>
        <v>148</v>
      </c>
      <c r="AU5" s="189">
        <f>VLOOKUP($A$5,$A$7:$CP$70,47,FALSE)</f>
        <v>172</v>
      </c>
      <c r="AV5" s="189">
        <f>VLOOKUP($A$5,$A$7:$CP$70,48,FALSE)</f>
        <v>1</v>
      </c>
      <c r="AW5" s="189">
        <f>VLOOKUP($A$5,$A$7:$CP$70,49,FALSE)</f>
        <v>2</v>
      </c>
      <c r="AX5" s="189">
        <f>VLOOKUP($A$5,$A$7:$CP$70,50,FALSE)</f>
        <v>52</v>
      </c>
      <c r="AY5" s="189">
        <f>VLOOKUP($A$5,$A$7:$CP$70,51,FALSE)</f>
        <v>174</v>
      </c>
      <c r="AZ5" s="189">
        <f>VLOOKUP($A$5,$A$7:$CP$70,52,FALSE)</f>
        <v>9</v>
      </c>
      <c r="BA5" s="189">
        <f>VLOOKUP($A$5,$A$7:$CP$70,53,FALSE)</f>
        <v>9</v>
      </c>
      <c r="BB5" s="189">
        <f>VLOOKUP($A$5,$A$7:$CP$70,54,FALSE)</f>
        <v>13</v>
      </c>
      <c r="BC5" s="189">
        <f>VLOOKUP($A$5,$A$7:$CP$70,55,FALSE)</f>
        <v>28</v>
      </c>
      <c r="BD5" s="189">
        <f>VLOOKUP($A$5,$A$7:$CP$70,56,FALSE)</f>
        <v>31</v>
      </c>
      <c r="BE5" s="189">
        <f>VLOOKUP($A$5,$A$7:$CP$70,57,FALSE)</f>
        <v>22</v>
      </c>
      <c r="BF5" s="189">
        <f>VLOOKUP($A$5,$A$7:$CP$70,58,FALSE)</f>
        <v>201</v>
      </c>
      <c r="BG5" s="189">
        <f>VLOOKUP($A$5,$A$7:$CP$70,59,FALSE)</f>
        <v>36</v>
      </c>
      <c r="BH5" s="189">
        <f>VLOOKUP($A$5,$A$7:$CP$70,60,FALSE)</f>
        <v>82</v>
      </c>
      <c r="BI5" s="189">
        <f>VLOOKUP($A$5,$A$7:$CP$70,61,FALSE)</f>
        <v>35</v>
      </c>
      <c r="BJ5" s="178">
        <f>VLOOKUP($A$5,$A$7:$CP$70,62,FALSE)</f>
        <v>0.35542857142857143</v>
      </c>
      <c r="BK5" s="179">
        <f>VLOOKUP($A$5,$A$7:$CP$70,63,FALSE)</f>
        <v>5.7142857142857147E-4</v>
      </c>
      <c r="BL5" s="179">
        <f>VLOOKUP($A$5,$A$7:$CP$70,64,FALSE)</f>
        <v>0</v>
      </c>
      <c r="BM5" s="179">
        <f>VLOOKUP($A$5,$A$7:$CP$70,65,FALSE)</f>
        <v>8.4571428571428575E-2</v>
      </c>
      <c r="BN5" s="179">
        <f>VLOOKUP($A$5,$A$7:$CP$70,66,FALSE)</f>
        <v>9.8285714285714282E-2</v>
      </c>
      <c r="BO5" s="179">
        <f>VLOOKUP($A$5,$A$7:$CP$70,67,FALSE)</f>
        <v>5.7142857142857147E-4</v>
      </c>
      <c r="BP5" s="179">
        <f>VLOOKUP($A$5,$A$7:$CP$70,68,FALSE)</f>
        <v>1.1428571428571429E-3</v>
      </c>
      <c r="BQ5" s="179">
        <f>VLOOKUP($A$5,$A$7:$CP$70,69,FALSE)</f>
        <v>2.9714285714285714E-2</v>
      </c>
      <c r="BR5" s="179">
        <f>VLOOKUP($A$5,$A$7:$CP$70,70,FALSE)</f>
        <v>9.9428571428571422E-2</v>
      </c>
      <c r="BS5" s="179">
        <f>VLOOKUP($A$5,$A$7:$CP$70,71,FALSE)</f>
        <v>5.1428571428571426E-3</v>
      </c>
      <c r="BT5" s="179">
        <f>VLOOKUP($A$5,$A$7:$CP$70,72,FALSE)</f>
        <v>5.1428571428571426E-3</v>
      </c>
      <c r="BU5" s="179">
        <f>VLOOKUP($A$5,$A$7:$CP$70,73,FALSE)</f>
        <v>7.4285714285714285E-3</v>
      </c>
      <c r="BV5" s="179">
        <f>VLOOKUP($A$5,$A$7:$CP$70,74,FALSE)</f>
        <v>1.6E-2</v>
      </c>
      <c r="BW5" s="179">
        <f>VLOOKUP($A$5,$A$7:$CP$70,75,FALSE)</f>
        <v>1.7714285714285714E-2</v>
      </c>
      <c r="BX5" s="179">
        <f>VLOOKUP($A$5,$A$7:$CP$70,76,FALSE)</f>
        <v>1.2571428571428572E-2</v>
      </c>
      <c r="BY5" s="179">
        <f>VLOOKUP($A$5,$A$7:$CP$70,77,FALSE)</f>
        <v>0.11485714285714285</v>
      </c>
      <c r="BZ5" s="179">
        <f>VLOOKUP($A$5,$A$7:$CP$70,78,FALSE)</f>
        <v>2.057142857142857E-2</v>
      </c>
      <c r="CA5" s="179">
        <f>VLOOKUP($A$5,$A$7:$CP$70,79,FALSE)</f>
        <v>4.6857142857142854E-2</v>
      </c>
      <c r="CB5" s="180">
        <f>VLOOKUP($A$5,$A$7:$CP$70,80,FALSE)</f>
        <v>0.02</v>
      </c>
      <c r="CC5" s="188">
        <f>VLOOKUP($A$5,$A$7:$CP$70,81,FALSE)</f>
        <v>1750</v>
      </c>
      <c r="CD5" s="190">
        <f>VLOOKUP($A$5,$A$7:$CP$70,82,FALSE)</f>
        <v>1244</v>
      </c>
      <c r="CE5" s="189">
        <f>VLOOKUP($A$5,$A$7:$CP$70,83,FALSE)</f>
        <v>442</v>
      </c>
      <c r="CF5" s="191">
        <f>VLOOKUP($A$5,$A$7:$CP$70,84,FALSE)</f>
        <v>4</v>
      </c>
      <c r="CG5" s="188">
        <f>VLOOKUP($A$5,$A$7:$CP$70,85,FALSE)</f>
        <v>91</v>
      </c>
      <c r="CH5" s="189">
        <f>VLOOKUP($A$5,$A$7:$CP$70,86,FALSE)</f>
        <v>53</v>
      </c>
      <c r="CI5" s="189">
        <f>VLOOKUP($A$5,$A$7:$CP$70,87,FALSE)</f>
        <v>35</v>
      </c>
      <c r="CJ5" s="191">
        <f>VLOOKUP($A$5,$A$7:$CP$70,88,FALSE)</f>
        <v>0</v>
      </c>
      <c r="CK5" s="178">
        <f>VLOOKUP($A$5,$A$7:$CP$70,89,FALSE)</f>
        <v>0.71085714285714285</v>
      </c>
      <c r="CL5" s="179">
        <f>VLOOKUP($A$5,$A$7:$CP$70,90,FALSE)</f>
        <v>0.25257142857142856</v>
      </c>
      <c r="CM5" s="180">
        <f>VLOOKUP($A$5,$A$7:$CP$70,91,FALSE)</f>
        <v>2.2857142857142859E-3</v>
      </c>
      <c r="CN5" s="178">
        <f>VLOOKUP($A$5,$A$7:$CP$70,92,FALSE)</f>
        <v>0.58241758241758246</v>
      </c>
      <c r="CO5" s="179">
        <f>VLOOKUP($A$5,$A$7:$CP$70,93,FALSE)</f>
        <v>0.38461538461538464</v>
      </c>
      <c r="CP5" s="180">
        <f>VLOOKUP($A$5,$A$7:$CP$70,94,FALSE)</f>
        <v>0</v>
      </c>
    </row>
    <row r="6" spans="1:94" s="241" customFormat="1" x14ac:dyDescent="0.15"/>
    <row r="7" spans="1:94" x14ac:dyDescent="0.15">
      <c r="A7" t="s">
        <v>429</v>
      </c>
      <c r="B7" t="s">
        <v>430</v>
      </c>
      <c r="C7" t="s">
        <v>438</v>
      </c>
      <c r="D7">
        <v>6466.6</v>
      </c>
      <c r="E7">
        <v>3061.3</v>
      </c>
      <c r="F7">
        <v>986.7</v>
      </c>
      <c r="G7">
        <v>982.4</v>
      </c>
      <c r="H7">
        <v>0.47340178764729535</v>
      </c>
      <c r="I7">
        <v>0.15258404725821917</v>
      </c>
      <c r="J7">
        <v>0.15191909194940154</v>
      </c>
      <c r="K7">
        <v>15913.9</v>
      </c>
      <c r="L7">
        <v>1803.7</v>
      </c>
      <c r="M7">
        <v>5568.9</v>
      </c>
      <c r="N7">
        <v>7271.4</v>
      </c>
      <c r="O7">
        <v>0.11334116715575693</v>
      </c>
      <c r="P7">
        <v>0.34993936118738961</v>
      </c>
      <c r="Q7">
        <v>0.45692130778753165</v>
      </c>
      <c r="R7">
        <v>15913.9</v>
      </c>
      <c r="S7">
        <v>1949.9</v>
      </c>
      <c r="T7">
        <v>1069.0999999999999</v>
      </c>
      <c r="U7">
        <v>434.8</v>
      </c>
      <c r="V7">
        <v>32.200000000000003</v>
      </c>
      <c r="W7">
        <v>3486</v>
      </c>
      <c r="X7">
        <v>7422.9</v>
      </c>
      <c r="Y7">
        <v>858.4</v>
      </c>
      <c r="Z7">
        <v>496.1</v>
      </c>
      <c r="AA7">
        <v>232.4</v>
      </c>
      <c r="AB7">
        <v>18</v>
      </c>
      <c r="AC7">
        <v>1604.9</v>
      </c>
      <c r="AD7">
        <v>8491</v>
      </c>
      <c r="AE7">
        <v>1091.5</v>
      </c>
      <c r="AF7">
        <v>573</v>
      </c>
      <c r="AG7">
        <v>202.4</v>
      </c>
      <c r="AH7">
        <v>14.2</v>
      </c>
      <c r="AI7">
        <v>1881.1000000000001</v>
      </c>
      <c r="AJ7">
        <v>0.21905378317068727</v>
      </c>
      <c r="AK7">
        <v>0.30668387837062533</v>
      </c>
      <c r="AL7">
        <v>0.12472748135398738</v>
      </c>
      <c r="AM7">
        <v>9.2369477911646587E-3</v>
      </c>
      <c r="AN7">
        <v>0.46038439472174414</v>
      </c>
      <c r="AO7">
        <v>0.53961560527825592</v>
      </c>
      <c r="AP7">
        <v>7537.6</v>
      </c>
      <c r="AQ7">
        <v>1026.9000000000001</v>
      </c>
      <c r="AR7">
        <v>10</v>
      </c>
      <c r="AS7">
        <v>0</v>
      </c>
      <c r="AT7">
        <v>616.70000000000005</v>
      </c>
      <c r="AU7">
        <v>955.3</v>
      </c>
      <c r="AV7">
        <v>36</v>
      </c>
      <c r="AW7">
        <v>53.1</v>
      </c>
      <c r="AX7">
        <v>213.5</v>
      </c>
      <c r="AY7">
        <v>1012.8</v>
      </c>
      <c r="AZ7">
        <v>110</v>
      </c>
      <c r="BA7">
        <v>57.3</v>
      </c>
      <c r="BB7">
        <v>122.3</v>
      </c>
      <c r="BC7">
        <v>357.7</v>
      </c>
      <c r="BD7">
        <v>280.89999999999998</v>
      </c>
      <c r="BE7">
        <v>302.60000000000002</v>
      </c>
      <c r="BF7">
        <v>1156</v>
      </c>
      <c r="BG7">
        <v>186.5</v>
      </c>
      <c r="BH7">
        <v>396</v>
      </c>
      <c r="BI7">
        <v>443.3</v>
      </c>
      <c r="BJ7">
        <v>0.13623699851411591</v>
      </c>
      <c r="BK7">
        <v>1.3266822330715345E-3</v>
      </c>
      <c r="BL7">
        <v>0</v>
      </c>
      <c r="BM7">
        <v>8.1816493313521546E-2</v>
      </c>
      <c r="BN7">
        <v>0.1267379537253237</v>
      </c>
      <c r="BO7">
        <v>4.7760560390575245E-3</v>
      </c>
      <c r="BP7">
        <v>7.0446826576098494E-3</v>
      </c>
      <c r="BQ7">
        <v>2.8324665676077266E-2</v>
      </c>
      <c r="BR7">
        <v>0.13436637656548503</v>
      </c>
      <c r="BS7">
        <v>1.459350456378688E-2</v>
      </c>
      <c r="BT7">
        <v>7.6018891954998929E-3</v>
      </c>
      <c r="BU7">
        <v>1.6225323710464867E-2</v>
      </c>
      <c r="BV7">
        <v>4.7455423476968794E-2</v>
      </c>
      <c r="BW7">
        <v>3.7266503926979402E-2</v>
      </c>
      <c r="BX7">
        <v>4.0145404372744643E-2</v>
      </c>
      <c r="BY7">
        <v>0.15336446614306939</v>
      </c>
      <c r="BZ7">
        <v>2.4742623646784121E-2</v>
      </c>
      <c r="CA7">
        <v>5.2536616429632775E-2</v>
      </c>
      <c r="CB7">
        <v>5.8811823392061133E-2</v>
      </c>
      <c r="CC7">
        <v>7537.6</v>
      </c>
      <c r="CD7">
        <v>4973.3</v>
      </c>
      <c r="CE7">
        <v>2418</v>
      </c>
      <c r="CF7">
        <v>23</v>
      </c>
      <c r="CG7">
        <v>737.6</v>
      </c>
      <c r="CH7">
        <v>428.8</v>
      </c>
      <c r="CI7">
        <v>270.7</v>
      </c>
      <c r="CJ7">
        <v>10</v>
      </c>
      <c r="CK7">
        <v>0.65979887497346634</v>
      </c>
      <c r="CL7">
        <v>0.32079176395669706</v>
      </c>
      <c r="CM7">
        <v>3.0513691360645298E-3</v>
      </c>
      <c r="CN7">
        <v>0.58134490238611713</v>
      </c>
      <c r="CO7">
        <v>0.36700108459869846</v>
      </c>
      <c r="CP7">
        <v>1.3557483731019523E-2</v>
      </c>
    </row>
    <row r="8" spans="1:94" x14ac:dyDescent="0.15">
      <c r="A8" t="s">
        <v>431</v>
      </c>
      <c r="B8" t="s">
        <v>430</v>
      </c>
      <c r="C8" t="s">
        <v>439</v>
      </c>
      <c r="D8">
        <v>1562.4</v>
      </c>
      <c r="E8">
        <v>1036.7</v>
      </c>
      <c r="F8">
        <v>300.3</v>
      </c>
      <c r="G8">
        <v>316.60000000000002</v>
      </c>
      <c r="H8">
        <v>0.66353046594982079</v>
      </c>
      <c r="I8">
        <v>0.19220430107526881</v>
      </c>
      <c r="J8">
        <v>0.20263696876600101</v>
      </c>
      <c r="K8">
        <v>3879.1</v>
      </c>
      <c r="L8">
        <v>691.3</v>
      </c>
      <c r="M8">
        <v>762.09999999999991</v>
      </c>
      <c r="N8">
        <v>2191.6</v>
      </c>
      <c r="O8">
        <v>0.17821144079812326</v>
      </c>
      <c r="P8">
        <v>0.19646309711015439</v>
      </c>
      <c r="Q8">
        <v>0.56497641205434246</v>
      </c>
      <c r="R8">
        <v>3879.1</v>
      </c>
      <c r="S8">
        <v>271.10000000000002</v>
      </c>
      <c r="T8">
        <v>123.9</v>
      </c>
      <c r="U8">
        <v>66.2</v>
      </c>
      <c r="V8">
        <v>2.8</v>
      </c>
      <c r="W8">
        <v>464</v>
      </c>
      <c r="X8">
        <v>1832.1</v>
      </c>
      <c r="Y8">
        <v>117.6</v>
      </c>
      <c r="Z8">
        <v>47.9</v>
      </c>
      <c r="AA8">
        <v>35.6</v>
      </c>
      <c r="AB8">
        <v>1</v>
      </c>
      <c r="AC8">
        <v>202.1</v>
      </c>
      <c r="AD8">
        <v>2047</v>
      </c>
      <c r="AE8">
        <v>153.5</v>
      </c>
      <c r="AF8">
        <v>76</v>
      </c>
      <c r="AG8">
        <v>30.6</v>
      </c>
      <c r="AH8">
        <v>1.8</v>
      </c>
      <c r="AI8">
        <v>261.90000000000003</v>
      </c>
      <c r="AJ8">
        <v>0.11961537470031709</v>
      </c>
      <c r="AK8">
        <v>0.2670258620689655</v>
      </c>
      <c r="AL8">
        <v>0.14267241379310344</v>
      </c>
      <c r="AM8">
        <v>6.0344827586206896E-3</v>
      </c>
      <c r="AN8">
        <v>0.43556034482758621</v>
      </c>
      <c r="AO8">
        <v>0.5644396551724139</v>
      </c>
      <c r="AP8">
        <v>1902.4</v>
      </c>
      <c r="AQ8">
        <v>548.1</v>
      </c>
      <c r="AR8">
        <v>7</v>
      </c>
      <c r="AS8">
        <v>1</v>
      </c>
      <c r="AT8">
        <v>146.30000000000001</v>
      </c>
      <c r="AU8">
        <v>242.7</v>
      </c>
      <c r="AV8">
        <v>5</v>
      </c>
      <c r="AW8">
        <v>4.9000000000000004</v>
      </c>
      <c r="AX8">
        <v>50.5</v>
      </c>
      <c r="AY8">
        <v>183.2</v>
      </c>
      <c r="AZ8">
        <v>19</v>
      </c>
      <c r="BA8">
        <v>6.7</v>
      </c>
      <c r="BB8">
        <v>27.7</v>
      </c>
      <c r="BC8">
        <v>64.3</v>
      </c>
      <c r="BD8">
        <v>52.1</v>
      </c>
      <c r="BE8">
        <v>53.4</v>
      </c>
      <c r="BF8">
        <v>214</v>
      </c>
      <c r="BG8">
        <v>57.5</v>
      </c>
      <c r="BH8">
        <v>101</v>
      </c>
      <c r="BI8">
        <v>45.7</v>
      </c>
      <c r="BJ8">
        <v>0.28810975609756095</v>
      </c>
      <c r="BK8">
        <v>3.6795626576955425E-3</v>
      </c>
      <c r="BL8">
        <v>5.2565180824222036E-4</v>
      </c>
      <c r="BM8">
        <v>7.6902859545836838E-2</v>
      </c>
      <c r="BN8">
        <v>0.12757569386038686</v>
      </c>
      <c r="BO8">
        <v>2.6282590412111018E-3</v>
      </c>
      <c r="BP8">
        <v>2.5756938603868798E-3</v>
      </c>
      <c r="BQ8">
        <v>2.6545416316232126E-2</v>
      </c>
      <c r="BR8">
        <v>9.6299411269974752E-2</v>
      </c>
      <c r="BS8">
        <v>9.9873843566021855E-3</v>
      </c>
      <c r="BT8">
        <v>3.5218671152228761E-3</v>
      </c>
      <c r="BU8">
        <v>1.4560555088309503E-2</v>
      </c>
      <c r="BV8">
        <v>3.3799411269974766E-2</v>
      </c>
      <c r="BW8">
        <v>2.7386459209419681E-2</v>
      </c>
      <c r="BX8">
        <v>2.8069806560134566E-2</v>
      </c>
      <c r="BY8">
        <v>0.11248948696383515</v>
      </c>
      <c r="BZ8">
        <v>3.0224978973927667E-2</v>
      </c>
      <c r="CA8">
        <v>5.3090832632464252E-2</v>
      </c>
      <c r="CB8">
        <v>2.402228763666947E-2</v>
      </c>
      <c r="CC8">
        <v>1902.4</v>
      </c>
      <c r="CD8">
        <v>1359.7</v>
      </c>
      <c r="CE8">
        <v>504</v>
      </c>
      <c r="CF8">
        <v>3</v>
      </c>
      <c r="CG8">
        <v>137.4</v>
      </c>
      <c r="CH8">
        <v>67.2</v>
      </c>
      <c r="CI8">
        <v>61.3</v>
      </c>
      <c r="CJ8">
        <v>1</v>
      </c>
      <c r="CK8">
        <v>0.71472876366694704</v>
      </c>
      <c r="CL8">
        <v>0.26492851135407902</v>
      </c>
      <c r="CM8">
        <v>1.5769554247266611E-3</v>
      </c>
      <c r="CN8">
        <v>0.48908296943231439</v>
      </c>
      <c r="CO8">
        <v>0.44614264919941771</v>
      </c>
      <c r="CP8">
        <v>7.2780203784570596E-3</v>
      </c>
    </row>
    <row r="9" spans="1:94" x14ac:dyDescent="0.15">
      <c r="A9" t="s">
        <v>428</v>
      </c>
      <c r="B9" t="s">
        <v>430</v>
      </c>
      <c r="C9" t="s">
        <v>440</v>
      </c>
      <c r="D9">
        <v>1033</v>
      </c>
      <c r="E9">
        <v>741</v>
      </c>
      <c r="F9">
        <v>207</v>
      </c>
      <c r="G9">
        <v>259</v>
      </c>
      <c r="H9">
        <v>0.71732817037754115</v>
      </c>
      <c r="I9">
        <v>0.20038722168441434</v>
      </c>
      <c r="J9">
        <v>0.25072604065827686</v>
      </c>
      <c r="K9">
        <v>2404</v>
      </c>
      <c r="L9">
        <v>461</v>
      </c>
      <c r="M9">
        <v>445</v>
      </c>
      <c r="N9">
        <v>1426</v>
      </c>
      <c r="O9">
        <v>0.19176372712146422</v>
      </c>
      <c r="P9">
        <v>0.185108153078203</v>
      </c>
      <c r="Q9">
        <v>0.59317803660565727</v>
      </c>
      <c r="R9">
        <v>2404</v>
      </c>
      <c r="S9">
        <v>134</v>
      </c>
      <c r="T9">
        <v>83</v>
      </c>
      <c r="U9">
        <v>35</v>
      </c>
      <c r="V9">
        <v>1</v>
      </c>
      <c r="W9">
        <v>253</v>
      </c>
      <c r="X9">
        <v>1134</v>
      </c>
      <c r="Y9">
        <v>60</v>
      </c>
      <c r="Z9">
        <v>39</v>
      </c>
      <c r="AA9">
        <v>19</v>
      </c>
      <c r="AB9">
        <v>0</v>
      </c>
      <c r="AC9">
        <v>118</v>
      </c>
      <c r="AD9">
        <v>1270</v>
      </c>
      <c r="AE9">
        <v>74</v>
      </c>
      <c r="AF9">
        <v>44</v>
      </c>
      <c r="AG9">
        <v>16</v>
      </c>
      <c r="AH9">
        <v>1</v>
      </c>
      <c r="AI9">
        <v>135</v>
      </c>
      <c r="AJ9">
        <v>0.10524126455906822</v>
      </c>
      <c r="AK9">
        <v>0.32806324110671936</v>
      </c>
      <c r="AL9">
        <v>0.13833992094861661</v>
      </c>
      <c r="AM9">
        <v>3.952569169960474E-3</v>
      </c>
      <c r="AN9">
        <v>0.466403162055336</v>
      </c>
      <c r="AO9">
        <v>0.53359683794466406</v>
      </c>
      <c r="AP9">
        <v>1191</v>
      </c>
      <c r="AQ9">
        <v>346</v>
      </c>
      <c r="AR9">
        <v>3</v>
      </c>
      <c r="AS9">
        <v>0</v>
      </c>
      <c r="AT9">
        <v>126</v>
      </c>
      <c r="AU9">
        <v>152</v>
      </c>
      <c r="AV9">
        <v>4</v>
      </c>
      <c r="AW9">
        <v>6</v>
      </c>
      <c r="AX9">
        <v>31</v>
      </c>
      <c r="AY9">
        <v>105</v>
      </c>
      <c r="AZ9">
        <v>12</v>
      </c>
      <c r="BA9">
        <v>3</v>
      </c>
      <c r="BB9">
        <v>9</v>
      </c>
      <c r="BC9">
        <v>35</v>
      </c>
      <c r="BD9">
        <v>44</v>
      </c>
      <c r="BE9">
        <v>21</v>
      </c>
      <c r="BF9">
        <v>128</v>
      </c>
      <c r="BG9">
        <v>33</v>
      </c>
      <c r="BH9">
        <v>64</v>
      </c>
      <c r="BI9">
        <v>24</v>
      </c>
      <c r="BJ9">
        <v>0.29051217464315698</v>
      </c>
      <c r="BK9">
        <v>2.5188916876574307E-3</v>
      </c>
      <c r="BL9">
        <v>0</v>
      </c>
      <c r="BM9">
        <v>0.10579345088161209</v>
      </c>
      <c r="BN9">
        <v>0.12762384550797648</v>
      </c>
      <c r="BO9">
        <v>3.3585222502099076E-3</v>
      </c>
      <c r="BP9">
        <v>5.0377833753148613E-3</v>
      </c>
      <c r="BQ9">
        <v>2.6028547439126783E-2</v>
      </c>
      <c r="BR9">
        <v>8.8161209068010074E-2</v>
      </c>
      <c r="BS9">
        <v>1.0075566750629723E-2</v>
      </c>
      <c r="BT9">
        <v>2.5188916876574307E-3</v>
      </c>
      <c r="BU9">
        <v>7.556675062972292E-3</v>
      </c>
      <c r="BV9">
        <v>2.938706968933669E-2</v>
      </c>
      <c r="BW9">
        <v>3.6943744752308987E-2</v>
      </c>
      <c r="BX9">
        <v>1.7632241813602016E-2</v>
      </c>
      <c r="BY9">
        <v>0.10747271200671704</v>
      </c>
      <c r="BZ9">
        <v>2.7707808564231738E-2</v>
      </c>
      <c r="CA9">
        <v>5.3736356003358521E-2</v>
      </c>
      <c r="CB9">
        <v>2.0151133501259445E-2</v>
      </c>
      <c r="CC9">
        <v>1191</v>
      </c>
      <c r="CD9">
        <v>820</v>
      </c>
      <c r="CE9">
        <v>336</v>
      </c>
      <c r="CF9">
        <v>3</v>
      </c>
      <c r="CG9">
        <v>73</v>
      </c>
      <c r="CH9">
        <v>41</v>
      </c>
      <c r="CI9">
        <v>24</v>
      </c>
      <c r="CJ9">
        <v>3</v>
      </c>
      <c r="CK9">
        <v>0.68849706129303112</v>
      </c>
      <c r="CL9">
        <v>0.28211586901763225</v>
      </c>
      <c r="CM9">
        <v>2.5188916876574307E-3</v>
      </c>
      <c r="CN9">
        <v>0.56164383561643838</v>
      </c>
      <c r="CO9">
        <v>0.32876712328767121</v>
      </c>
      <c r="CP9">
        <v>4.1095890410958902E-2</v>
      </c>
    </row>
    <row r="10" spans="1:94" x14ac:dyDescent="0.15">
      <c r="A10" t="s">
        <v>432</v>
      </c>
      <c r="B10" t="s">
        <v>430</v>
      </c>
      <c r="C10" t="s">
        <v>441</v>
      </c>
      <c r="D10">
        <v>1233</v>
      </c>
      <c r="E10">
        <v>790</v>
      </c>
      <c r="F10">
        <v>243</v>
      </c>
      <c r="G10">
        <v>241</v>
      </c>
      <c r="H10">
        <v>0.6407137064071371</v>
      </c>
      <c r="I10">
        <v>0.19708029197080293</v>
      </c>
      <c r="J10">
        <v>0.19545823195458231</v>
      </c>
      <c r="K10">
        <v>2919</v>
      </c>
      <c r="L10">
        <v>609</v>
      </c>
      <c r="M10">
        <v>529</v>
      </c>
      <c r="N10">
        <v>1647</v>
      </c>
      <c r="O10">
        <v>0.20863309352517986</v>
      </c>
      <c r="P10">
        <v>0.18122644741349778</v>
      </c>
      <c r="Q10">
        <v>0.56423432682425489</v>
      </c>
      <c r="R10">
        <v>2919</v>
      </c>
      <c r="S10">
        <v>137</v>
      </c>
      <c r="T10">
        <v>113</v>
      </c>
      <c r="U10">
        <v>28</v>
      </c>
      <c r="V10">
        <v>1</v>
      </c>
      <c r="W10">
        <v>279</v>
      </c>
      <c r="X10">
        <v>1390</v>
      </c>
      <c r="Y10">
        <v>48</v>
      </c>
      <c r="Z10">
        <v>49</v>
      </c>
      <c r="AA10">
        <v>18</v>
      </c>
      <c r="AB10">
        <v>1</v>
      </c>
      <c r="AC10">
        <v>116</v>
      </c>
      <c r="AD10">
        <v>1529</v>
      </c>
      <c r="AE10">
        <v>89</v>
      </c>
      <c r="AF10">
        <v>64</v>
      </c>
      <c r="AG10">
        <v>10</v>
      </c>
      <c r="AH10">
        <v>0</v>
      </c>
      <c r="AI10">
        <v>163</v>
      </c>
      <c r="AJ10">
        <v>9.5580678314491269E-2</v>
      </c>
      <c r="AK10">
        <v>0.4050179211469534</v>
      </c>
      <c r="AL10">
        <v>0.1003584229390681</v>
      </c>
      <c r="AM10">
        <v>3.5842293906810036E-3</v>
      </c>
      <c r="AN10">
        <v>0.4157706093189964</v>
      </c>
      <c r="AO10">
        <v>0.58422939068100355</v>
      </c>
      <c r="AP10">
        <v>1561</v>
      </c>
      <c r="AQ10">
        <v>528</v>
      </c>
      <c r="AR10">
        <v>1</v>
      </c>
      <c r="AS10">
        <v>3</v>
      </c>
      <c r="AT10">
        <v>110</v>
      </c>
      <c r="AU10">
        <v>162</v>
      </c>
      <c r="AV10">
        <v>0</v>
      </c>
      <c r="AW10">
        <v>9</v>
      </c>
      <c r="AX10">
        <v>54</v>
      </c>
      <c r="AY10">
        <v>136</v>
      </c>
      <c r="AZ10">
        <v>13</v>
      </c>
      <c r="BA10">
        <v>10</v>
      </c>
      <c r="BB10">
        <v>16</v>
      </c>
      <c r="BC10">
        <v>29</v>
      </c>
      <c r="BD10">
        <v>41</v>
      </c>
      <c r="BE10">
        <v>26</v>
      </c>
      <c r="BF10">
        <v>177</v>
      </c>
      <c r="BG10">
        <v>39</v>
      </c>
      <c r="BH10">
        <v>93</v>
      </c>
      <c r="BI10">
        <v>35</v>
      </c>
      <c r="BJ10">
        <v>0.33824471492632929</v>
      </c>
      <c r="BK10">
        <v>6.406149903907751E-4</v>
      </c>
      <c r="BL10">
        <v>1.9218449711723255E-3</v>
      </c>
      <c r="BM10">
        <v>7.0467648942985267E-2</v>
      </c>
      <c r="BN10">
        <v>0.10377962844330557</v>
      </c>
      <c r="BO10">
        <v>0</v>
      </c>
      <c r="BP10">
        <v>5.7655349135169766E-3</v>
      </c>
      <c r="BQ10">
        <v>3.459320948110186E-2</v>
      </c>
      <c r="BR10">
        <v>8.7123638693145419E-2</v>
      </c>
      <c r="BS10">
        <v>8.3279948750800761E-3</v>
      </c>
      <c r="BT10">
        <v>6.4061499039077515E-3</v>
      </c>
      <c r="BU10">
        <v>1.0249839846252402E-2</v>
      </c>
      <c r="BV10">
        <v>1.8577834721332478E-2</v>
      </c>
      <c r="BW10">
        <v>2.626521460602178E-2</v>
      </c>
      <c r="BX10">
        <v>1.6655989750160152E-2</v>
      </c>
      <c r="BY10">
        <v>0.1133888532991672</v>
      </c>
      <c r="BZ10">
        <v>2.4983984625240232E-2</v>
      </c>
      <c r="CA10">
        <v>5.9577194106342088E-2</v>
      </c>
      <c r="CB10">
        <v>2.2421524663677129E-2</v>
      </c>
      <c r="CC10">
        <v>1561</v>
      </c>
      <c r="CD10">
        <v>1043</v>
      </c>
      <c r="CE10">
        <v>462</v>
      </c>
      <c r="CF10">
        <v>2</v>
      </c>
      <c r="CG10">
        <v>100</v>
      </c>
      <c r="CH10">
        <v>52</v>
      </c>
      <c r="CI10">
        <v>46</v>
      </c>
      <c r="CJ10">
        <v>0</v>
      </c>
      <c r="CK10">
        <v>0.66816143497757852</v>
      </c>
      <c r="CL10">
        <v>0.29596412556053814</v>
      </c>
      <c r="CM10">
        <v>1.2812299807815502E-3</v>
      </c>
      <c r="CN10">
        <v>0.52</v>
      </c>
      <c r="CO10">
        <v>0.46</v>
      </c>
      <c r="CP10">
        <v>0</v>
      </c>
    </row>
    <row r="11" spans="1:94" x14ac:dyDescent="0.15">
      <c r="A11" t="s">
        <v>433</v>
      </c>
      <c r="B11" t="s">
        <v>430</v>
      </c>
      <c r="C11" t="s">
        <v>442</v>
      </c>
      <c r="D11">
        <v>1325</v>
      </c>
      <c r="E11">
        <v>933</v>
      </c>
      <c r="F11">
        <v>292</v>
      </c>
      <c r="G11">
        <v>261</v>
      </c>
      <c r="H11">
        <v>0.70415094339622641</v>
      </c>
      <c r="I11">
        <v>0.22037735849056603</v>
      </c>
      <c r="J11">
        <v>0.19698113207547169</v>
      </c>
      <c r="K11">
        <v>3250</v>
      </c>
      <c r="L11">
        <v>654</v>
      </c>
      <c r="M11">
        <v>567</v>
      </c>
      <c r="N11">
        <v>1905</v>
      </c>
      <c r="O11">
        <v>0.20123076923076924</v>
      </c>
      <c r="P11">
        <v>0.17446153846153847</v>
      </c>
      <c r="Q11">
        <v>0.58615384615384614</v>
      </c>
      <c r="R11">
        <v>3250</v>
      </c>
      <c r="S11">
        <v>210</v>
      </c>
      <c r="T11">
        <v>72</v>
      </c>
      <c r="U11">
        <v>33</v>
      </c>
      <c r="V11">
        <v>3</v>
      </c>
      <c r="W11">
        <v>318</v>
      </c>
      <c r="X11">
        <v>1516</v>
      </c>
      <c r="Y11">
        <v>77</v>
      </c>
      <c r="Z11">
        <v>35</v>
      </c>
      <c r="AA11">
        <v>15</v>
      </c>
      <c r="AB11">
        <v>0</v>
      </c>
      <c r="AC11">
        <v>127</v>
      </c>
      <c r="AD11">
        <v>1734</v>
      </c>
      <c r="AE11">
        <v>133</v>
      </c>
      <c r="AF11">
        <v>37</v>
      </c>
      <c r="AG11">
        <v>18</v>
      </c>
      <c r="AH11">
        <v>3</v>
      </c>
      <c r="AI11">
        <v>191</v>
      </c>
      <c r="AJ11">
        <v>9.7846153846153847E-2</v>
      </c>
      <c r="AK11">
        <v>0.22641509433962265</v>
      </c>
      <c r="AL11">
        <v>0.10377358490566038</v>
      </c>
      <c r="AM11">
        <v>9.433962264150943E-3</v>
      </c>
      <c r="AN11">
        <v>0.39937106918238996</v>
      </c>
      <c r="AO11">
        <v>0.60062893081761004</v>
      </c>
      <c r="AP11">
        <v>1750</v>
      </c>
      <c r="AQ11">
        <v>622</v>
      </c>
      <c r="AR11">
        <v>1</v>
      </c>
      <c r="AS11">
        <v>0</v>
      </c>
      <c r="AT11">
        <v>148</v>
      </c>
      <c r="AU11">
        <v>172</v>
      </c>
      <c r="AV11">
        <v>1</v>
      </c>
      <c r="AW11">
        <v>2</v>
      </c>
      <c r="AX11">
        <v>52</v>
      </c>
      <c r="AY11">
        <v>174</v>
      </c>
      <c r="AZ11">
        <v>9</v>
      </c>
      <c r="BA11">
        <v>9</v>
      </c>
      <c r="BB11">
        <v>13</v>
      </c>
      <c r="BC11">
        <v>28</v>
      </c>
      <c r="BD11">
        <v>31</v>
      </c>
      <c r="BE11">
        <v>22</v>
      </c>
      <c r="BF11">
        <v>201</v>
      </c>
      <c r="BG11">
        <v>36</v>
      </c>
      <c r="BH11">
        <v>82</v>
      </c>
      <c r="BI11">
        <v>35</v>
      </c>
      <c r="BJ11">
        <v>0.35542857142857143</v>
      </c>
      <c r="BK11">
        <v>5.7142857142857147E-4</v>
      </c>
      <c r="BL11">
        <v>0</v>
      </c>
      <c r="BM11">
        <v>8.4571428571428575E-2</v>
      </c>
      <c r="BN11">
        <v>9.8285714285714282E-2</v>
      </c>
      <c r="BO11">
        <v>5.7142857142857147E-4</v>
      </c>
      <c r="BP11">
        <v>1.1428571428571429E-3</v>
      </c>
      <c r="BQ11">
        <v>2.9714285714285714E-2</v>
      </c>
      <c r="BR11">
        <v>9.9428571428571422E-2</v>
      </c>
      <c r="BS11">
        <v>5.1428571428571426E-3</v>
      </c>
      <c r="BT11">
        <v>5.1428571428571426E-3</v>
      </c>
      <c r="BU11">
        <v>7.4285714285714285E-3</v>
      </c>
      <c r="BV11">
        <v>1.6E-2</v>
      </c>
      <c r="BW11">
        <v>1.7714285714285714E-2</v>
      </c>
      <c r="BX11">
        <v>1.2571428571428572E-2</v>
      </c>
      <c r="BY11">
        <v>0.11485714285714285</v>
      </c>
      <c r="BZ11">
        <v>2.057142857142857E-2</v>
      </c>
      <c r="CA11">
        <v>4.6857142857142854E-2</v>
      </c>
      <c r="CB11">
        <v>0.02</v>
      </c>
      <c r="CC11">
        <v>1750</v>
      </c>
      <c r="CD11">
        <v>1244</v>
      </c>
      <c r="CE11">
        <v>442</v>
      </c>
      <c r="CF11">
        <v>4</v>
      </c>
      <c r="CG11">
        <v>91</v>
      </c>
      <c r="CH11">
        <v>53</v>
      </c>
      <c r="CI11">
        <v>35</v>
      </c>
      <c r="CJ11">
        <v>0</v>
      </c>
      <c r="CK11">
        <v>0.71085714285714285</v>
      </c>
      <c r="CL11">
        <v>0.25257142857142856</v>
      </c>
      <c r="CM11">
        <v>2.2857142857142859E-3</v>
      </c>
      <c r="CN11">
        <v>0.58241758241758246</v>
      </c>
      <c r="CO11">
        <v>0.38461538461538464</v>
      </c>
      <c r="CP11">
        <v>0</v>
      </c>
    </row>
    <row r="12" spans="1:94" x14ac:dyDescent="0.15">
      <c r="A12" t="s">
        <v>434</v>
      </c>
      <c r="B12" t="s">
        <v>430</v>
      </c>
      <c r="C12" t="s">
        <v>443</v>
      </c>
      <c r="D12">
        <v>124</v>
      </c>
      <c r="E12">
        <v>91</v>
      </c>
      <c r="F12">
        <v>24</v>
      </c>
      <c r="G12">
        <v>44</v>
      </c>
      <c r="H12">
        <v>0.7338709677419355</v>
      </c>
      <c r="I12">
        <v>0.19354838709677419</v>
      </c>
      <c r="J12">
        <v>0.35483870967741937</v>
      </c>
      <c r="K12">
        <v>244</v>
      </c>
      <c r="L12">
        <v>45</v>
      </c>
      <c r="M12">
        <v>80</v>
      </c>
      <c r="N12">
        <v>118</v>
      </c>
      <c r="O12">
        <v>0.18442622950819673</v>
      </c>
      <c r="P12">
        <v>0.32786885245901637</v>
      </c>
      <c r="Q12">
        <v>0.48360655737704916</v>
      </c>
      <c r="R12">
        <v>244</v>
      </c>
      <c r="S12">
        <v>17</v>
      </c>
      <c r="T12">
        <v>33</v>
      </c>
      <c r="U12">
        <v>7</v>
      </c>
      <c r="V12">
        <v>4</v>
      </c>
      <c r="W12">
        <v>61</v>
      </c>
      <c r="X12">
        <v>128</v>
      </c>
      <c r="Y12">
        <v>6</v>
      </c>
      <c r="Z12">
        <v>20</v>
      </c>
      <c r="AA12">
        <v>3</v>
      </c>
      <c r="AB12">
        <v>2</v>
      </c>
      <c r="AC12">
        <v>31</v>
      </c>
      <c r="AD12">
        <v>116</v>
      </c>
      <c r="AE12">
        <v>11</v>
      </c>
      <c r="AF12">
        <v>13</v>
      </c>
      <c r="AG12">
        <v>4</v>
      </c>
      <c r="AH12">
        <v>2</v>
      </c>
      <c r="AI12">
        <v>30</v>
      </c>
      <c r="AJ12">
        <v>0.25</v>
      </c>
      <c r="AK12">
        <v>0.54098360655737709</v>
      </c>
      <c r="AL12">
        <v>0.11475409836065574</v>
      </c>
      <c r="AM12">
        <v>6.5573770491803282E-2</v>
      </c>
      <c r="AN12">
        <v>0.50819672131147542</v>
      </c>
      <c r="AO12">
        <v>0.49180327868852458</v>
      </c>
      <c r="AP12">
        <v>85</v>
      </c>
      <c r="AQ12">
        <v>39</v>
      </c>
      <c r="AR12">
        <v>0</v>
      </c>
      <c r="AS12">
        <v>0</v>
      </c>
      <c r="AT12">
        <v>3</v>
      </c>
      <c r="AU12">
        <v>11</v>
      </c>
      <c r="AV12">
        <v>0</v>
      </c>
      <c r="AW12">
        <v>1</v>
      </c>
      <c r="AX12">
        <v>1</v>
      </c>
      <c r="AY12">
        <v>2</v>
      </c>
      <c r="AZ12">
        <v>0</v>
      </c>
      <c r="BA12">
        <v>0</v>
      </c>
      <c r="BB12">
        <v>0</v>
      </c>
      <c r="BC12">
        <v>0</v>
      </c>
      <c r="BD12">
        <v>0</v>
      </c>
      <c r="BE12">
        <v>10</v>
      </c>
      <c r="BF12">
        <v>4</v>
      </c>
      <c r="BG12">
        <v>4</v>
      </c>
      <c r="BH12">
        <v>1</v>
      </c>
      <c r="BI12">
        <v>4</v>
      </c>
      <c r="BJ12">
        <v>0.45882352941176469</v>
      </c>
      <c r="BK12">
        <v>0</v>
      </c>
      <c r="BL12">
        <v>0</v>
      </c>
      <c r="BM12">
        <v>3.5294117647058823E-2</v>
      </c>
      <c r="BN12">
        <v>0.12941176470588237</v>
      </c>
      <c r="BO12">
        <v>0</v>
      </c>
      <c r="BP12">
        <v>1.1764705882352941E-2</v>
      </c>
      <c r="BQ12">
        <v>1.1764705882352941E-2</v>
      </c>
      <c r="BR12">
        <v>2.3529411764705882E-2</v>
      </c>
      <c r="BS12">
        <v>0</v>
      </c>
      <c r="BT12">
        <v>0</v>
      </c>
      <c r="BU12">
        <v>0</v>
      </c>
      <c r="BV12">
        <v>0</v>
      </c>
      <c r="BW12">
        <v>0</v>
      </c>
      <c r="BX12">
        <v>0.11764705882352941</v>
      </c>
      <c r="BY12">
        <v>4.7058823529411764E-2</v>
      </c>
      <c r="BZ12">
        <v>4.7058823529411764E-2</v>
      </c>
      <c r="CA12">
        <v>1.1764705882352941E-2</v>
      </c>
      <c r="CB12">
        <v>4.7058823529411764E-2</v>
      </c>
      <c r="CC12">
        <v>85</v>
      </c>
      <c r="CD12">
        <v>79</v>
      </c>
      <c r="CE12">
        <v>4</v>
      </c>
      <c r="CF12">
        <v>0</v>
      </c>
      <c r="CG12">
        <v>4</v>
      </c>
      <c r="CH12">
        <v>3</v>
      </c>
      <c r="CI12">
        <v>1</v>
      </c>
      <c r="CJ12">
        <v>0</v>
      </c>
      <c r="CK12">
        <v>0.92941176470588238</v>
      </c>
      <c r="CL12">
        <v>4.7058823529411764E-2</v>
      </c>
      <c r="CM12">
        <v>0</v>
      </c>
      <c r="CN12">
        <v>0.75</v>
      </c>
      <c r="CO12">
        <v>0.25</v>
      </c>
      <c r="CP1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三財地区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3245</v>
      </c>
      <c r="F6" s="256"/>
      <c r="G6" s="20" t="s">
        <v>54</v>
      </c>
    </row>
    <row r="7" spans="1:10" ht="22.5" customHeight="1" x14ac:dyDescent="0.15">
      <c r="A7" s="248">
        <f>管理者用グラフシート!B4</f>
        <v>2010</v>
      </c>
      <c r="B7" s="248"/>
      <c r="C7" s="82" t="s">
        <v>226</v>
      </c>
      <c r="D7" s="250">
        <f>E6-管理者用グラフシート!E4</f>
        <v>-811</v>
      </c>
      <c r="E7" s="250"/>
      <c r="F7" s="20" t="s">
        <v>356</v>
      </c>
    </row>
    <row r="8" spans="1:10" ht="22.5" customHeight="1" x14ac:dyDescent="0.15">
      <c r="A8" s="247" t="s">
        <v>380</v>
      </c>
      <c r="B8" s="247"/>
      <c r="C8" s="203">
        <f>管理者用グラフシート!C6-管理者用グラフシート!C4</f>
        <v>-399</v>
      </c>
      <c r="D8" s="206" t="s">
        <v>381</v>
      </c>
      <c r="F8" s="203">
        <f>管理者用グラフシート!D6-管理者用グラフシート!D4</f>
        <v>-412</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121</v>
      </c>
      <c r="G36" s="249"/>
      <c r="H36" s="20" t="s">
        <v>54</v>
      </c>
    </row>
    <row r="37" spans="1:9" ht="22.5" customHeight="1" x14ac:dyDescent="0.15">
      <c r="A37" s="20" t="s">
        <v>66</v>
      </c>
      <c r="F37" s="249">
        <f>管理者用グラフシート!C16</f>
        <v>66</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-54</v>
      </c>
      <c r="E40" s="250"/>
      <c r="F40" s="20" t="s">
        <v>60</v>
      </c>
    </row>
    <row r="41" spans="1:9" ht="22.5" customHeight="1" x14ac:dyDescent="0.15">
      <c r="B41" s="20" t="s">
        <v>69</v>
      </c>
      <c r="D41" s="250">
        <f>F37-管理者用グラフシート!C14</f>
        <v>-19</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1514</v>
      </c>
      <c r="D70" s="249"/>
      <c r="E70" s="20" t="s">
        <v>76</v>
      </c>
      <c r="F70" s="37"/>
      <c r="G70" s="254">
        <f>管理者用グラフシート!C32</f>
        <v>0.47</v>
      </c>
      <c r="H70" s="254"/>
      <c r="I70" s="20" t="s">
        <v>77</v>
      </c>
    </row>
    <row r="71" spans="1:9" ht="22.5" customHeight="1" x14ac:dyDescent="0.15">
      <c r="A71" s="20" t="s">
        <v>78</v>
      </c>
      <c r="C71" s="249">
        <f>管理者用グラフシート!C26</f>
        <v>796</v>
      </c>
      <c r="D71" s="249"/>
      <c r="E71" s="20" t="s">
        <v>76</v>
      </c>
      <c r="F71" s="37"/>
      <c r="G71" s="254">
        <f>管理者用グラフシート!C36</f>
        <v>0.25</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12ポイント上昇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-198</v>
      </c>
      <c r="G135" s="207" t="s">
        <v>386</v>
      </c>
      <c r="H135" s="111"/>
    </row>
    <row r="136" spans="1:8" ht="22.5" customHeight="1" x14ac:dyDescent="0.15">
      <c r="A136" s="35" t="s">
        <v>387</v>
      </c>
      <c r="C136" s="205">
        <f>SUM(管理者用グラフシート!B95:C96)-SUM(管理者用グラフシート!B47:C48)</f>
        <v>-109</v>
      </c>
      <c r="D136" s="20" t="s">
        <v>388</v>
      </c>
      <c r="E136" s="34"/>
      <c r="F136" s="205">
        <f>SUM(管理者用グラフシート!B97:C98)-SUM(管理者用グラフシート!B49:C50)</f>
        <v>-18</v>
      </c>
      <c r="G136" s="20" t="s">
        <v>386</v>
      </c>
    </row>
    <row r="137" spans="1:8" ht="18.75" x14ac:dyDescent="0.15">
      <c r="A137" s="20" t="s">
        <v>389</v>
      </c>
      <c r="C137" s="205">
        <f>SUM(管理者用グラフシート!B99:C100)-SUM(管理者用グラフシート!B51:C52)</f>
        <v>-344</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三財地区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2453</v>
      </c>
      <c r="E6" s="249"/>
      <c r="F6" s="20" t="s">
        <v>231</v>
      </c>
      <c r="H6" s="34"/>
      <c r="I6" s="34"/>
    </row>
    <row r="7" spans="1:9" ht="22.5" customHeight="1" x14ac:dyDescent="0.15">
      <c r="A7" s="248">
        <f>管理者入力シート!B5</f>
        <v>2020</v>
      </c>
      <c r="B7" s="248"/>
      <c r="C7" s="195" t="s">
        <v>362</v>
      </c>
      <c r="D7" s="250">
        <f>D6-現況シート!E6</f>
        <v>-792</v>
      </c>
      <c r="E7" s="250"/>
      <c r="F7" s="20" t="s">
        <v>232</v>
      </c>
      <c r="I7" s="34"/>
    </row>
    <row r="8" spans="1:9" ht="22.5" customHeight="1" x14ac:dyDescent="0.15">
      <c r="A8" s="247" t="s">
        <v>397</v>
      </c>
      <c r="B8" s="247"/>
      <c r="C8" s="205">
        <f>管理者用グラフシート!I8-管理者用グラフシート!C6</f>
        <v>-392</v>
      </c>
      <c r="D8" s="206" t="s">
        <v>398</v>
      </c>
      <c r="F8" s="260">
        <f>管理者用グラフシート!J8-管理者用グラフシート!D6</f>
        <v>-400</v>
      </c>
      <c r="G8" s="260"/>
      <c r="H8" s="20" t="s">
        <v>399</v>
      </c>
    </row>
    <row r="10" spans="1:9" ht="22.5" customHeight="1" x14ac:dyDescent="0.15">
      <c r="A10" s="248">
        <f>管理者入力シート!B11</f>
        <v>2040</v>
      </c>
      <c r="B10" s="248"/>
      <c r="C10" s="20" t="s">
        <v>361</v>
      </c>
      <c r="D10" s="249">
        <f>管理者用グラフシート!K10</f>
        <v>1738</v>
      </c>
      <c r="E10" s="249"/>
      <c r="F10" s="20" t="s">
        <v>231</v>
      </c>
      <c r="H10" s="34"/>
    </row>
    <row r="11" spans="1:9" ht="22.5" customHeight="1" x14ac:dyDescent="0.15">
      <c r="A11" s="248">
        <f>管理者入力シート!B5</f>
        <v>2020</v>
      </c>
      <c r="B11" s="248"/>
      <c r="C11" s="195" t="s">
        <v>362</v>
      </c>
      <c r="D11" s="250">
        <f>D10-現況シート!E6</f>
        <v>-1507</v>
      </c>
      <c r="E11" s="250"/>
      <c r="F11" s="20" t="s">
        <v>232</v>
      </c>
      <c r="H11" s="34"/>
    </row>
    <row r="12" spans="1:9" ht="22.5" customHeight="1" x14ac:dyDescent="0.15">
      <c r="A12" s="247" t="s">
        <v>397</v>
      </c>
      <c r="B12" s="247"/>
      <c r="C12" s="205">
        <f>管理者用グラフシート!I10-管理者用グラフシート!C6</f>
        <v>-736</v>
      </c>
      <c r="D12" s="206" t="s">
        <v>398</v>
      </c>
      <c r="F12" s="260">
        <f>管理者用グラフシート!J10-管理者用グラフシート!D6</f>
        <v>-771</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37</v>
      </c>
      <c r="G36" s="249"/>
      <c r="H36" s="82" t="s">
        <v>233</v>
      </c>
      <c r="I36" s="34"/>
    </row>
    <row r="37" spans="1:9" ht="22.5" customHeight="1" x14ac:dyDescent="0.15">
      <c r="A37" s="20" t="s">
        <v>234</v>
      </c>
      <c r="F37" s="249">
        <f>管理者用グラフシート!I28</f>
        <v>21</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-84</v>
      </c>
      <c r="G40" s="250"/>
      <c r="H40" s="35" t="s">
        <v>60</v>
      </c>
    </row>
    <row r="41" spans="1:9" ht="22.5" customHeight="1" x14ac:dyDescent="0.15">
      <c r="A41" s="20" t="s">
        <v>69</v>
      </c>
      <c r="C41" s="199">
        <f>管理者入力シート!B5</f>
        <v>2020</v>
      </c>
      <c r="D41" s="20" t="s">
        <v>374</v>
      </c>
      <c r="F41" s="250">
        <f>F37-現況シート!F37</f>
        <v>-45</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999</v>
      </c>
      <c r="D70" s="249"/>
      <c r="E70" s="82" t="s">
        <v>239</v>
      </c>
      <c r="F70" s="34"/>
      <c r="G70" s="254">
        <f>管理者用グラフシート!I56</f>
        <v>0.56999999999999995</v>
      </c>
      <c r="H70" s="254"/>
      <c r="I70" s="110" t="s">
        <v>240</v>
      </c>
    </row>
    <row r="71" spans="1:9" ht="22.5" customHeight="1" x14ac:dyDescent="0.15">
      <c r="A71" s="20" t="s">
        <v>241</v>
      </c>
      <c r="C71" s="249">
        <f>管理者用グラフシート!I46</f>
        <v>699</v>
      </c>
      <c r="D71" s="249"/>
      <c r="E71" s="20" t="s">
        <v>239</v>
      </c>
      <c r="G71" s="258">
        <f>管理者用グラフシート!I64</f>
        <v>0.4</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10ポイント上昇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15ポイント上昇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-18</v>
      </c>
      <c r="H103" s="207" t="s">
        <v>60</v>
      </c>
    </row>
    <row r="104" spans="1:8" ht="22.5" customHeight="1" x14ac:dyDescent="0.15">
      <c r="A104" s="35" t="s">
        <v>387</v>
      </c>
      <c r="C104" s="205">
        <f>SUM(管理者用グラフシート!H99:I100)-SUM(管理者用グラフシート!B95:C96)</f>
        <v>-155</v>
      </c>
      <c r="D104" s="20" t="s">
        <v>423</v>
      </c>
      <c r="E104" s="34"/>
      <c r="G104" s="205">
        <f>SUM(管理者用グラフシート!H101:I102)-SUM(管理者用グラフシート!B97:C98)</f>
        <v>-103</v>
      </c>
      <c r="H104" s="20" t="s">
        <v>60</v>
      </c>
    </row>
    <row r="105" spans="1:8" ht="22.5" customHeight="1" x14ac:dyDescent="0.15">
      <c r="A105" s="20" t="s">
        <v>389</v>
      </c>
      <c r="C105" s="205">
        <f>SUM(管理者用グラフシート!H103:I104)-SUM(管理者用グラフシート!B99:C100)</f>
        <v>-16</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-55</v>
      </c>
      <c r="H137" s="207" t="s">
        <v>60</v>
      </c>
    </row>
    <row r="138" spans="1:8" ht="22.5" customHeight="1" x14ac:dyDescent="0.15">
      <c r="A138" s="35" t="s">
        <v>387</v>
      </c>
      <c r="C138" s="205">
        <f>SUM(管理者用グラフシート!H147:I148)-SUM(管理者用グラフシート!B95:C96)</f>
        <v>-170</v>
      </c>
      <c r="D138" s="20" t="s">
        <v>423</v>
      </c>
      <c r="E138" s="34"/>
      <c r="G138" s="205">
        <f>SUM(管理者用グラフシート!H149:I150)-SUM(管理者用グラフシート!B97:C98)</f>
        <v>-249</v>
      </c>
      <c r="H138" s="20" t="s">
        <v>60</v>
      </c>
    </row>
    <row r="139" spans="1:8" ht="22.5" customHeight="1" x14ac:dyDescent="0.15">
      <c r="A139" s="20" t="s">
        <v>389</v>
      </c>
      <c r="C139" s="205">
        <f>SUM(管理者用グラフシート!H151:I152)-SUM(管理者用グラフシート!B99:C100)</f>
        <v>-118</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三財地区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3097</v>
      </c>
      <c r="I36" s="266"/>
    </row>
    <row r="37" spans="1:9" s="130" customFormat="1" ht="17.25" customHeight="1" x14ac:dyDescent="0.15">
      <c r="A37" s="165"/>
      <c r="B37" s="225" t="s">
        <v>5</v>
      </c>
      <c r="C37" s="226">
        <f>管理者用人口入力シート!DX1</f>
        <v>42</v>
      </c>
      <c r="D37" s="227">
        <f>C37</f>
        <v>42</v>
      </c>
      <c r="F37" s="162"/>
      <c r="G37" s="237">
        <f>管理者入力シート!B9</f>
        <v>2030</v>
      </c>
      <c r="H37" s="265">
        <f>管理者用人口入力シート!EU25</f>
        <v>3008</v>
      </c>
      <c r="I37" s="266"/>
    </row>
    <row r="38" spans="1:9" s="132" customFormat="1" ht="17.25" customHeight="1" x14ac:dyDescent="0.15">
      <c r="A38" s="160"/>
      <c r="B38" s="225" t="s">
        <v>6</v>
      </c>
      <c r="C38" s="226">
        <f>C37</f>
        <v>42</v>
      </c>
      <c r="D38" s="227">
        <f>C37</f>
        <v>42</v>
      </c>
      <c r="F38" s="162"/>
      <c r="G38" s="237">
        <f>管理者入力シート!B10</f>
        <v>2035</v>
      </c>
      <c r="H38" s="265">
        <f>管理者用人口入力シート!EU28</f>
        <v>2949</v>
      </c>
      <c r="I38" s="266"/>
    </row>
    <row r="39" spans="1:9" ht="17.25" customHeight="1" thickBot="1" x14ac:dyDescent="0.2">
      <c r="A39" s="166"/>
      <c r="B39" s="228" t="s">
        <v>7</v>
      </c>
      <c r="C39" s="229">
        <f>C37</f>
        <v>42</v>
      </c>
      <c r="D39" s="230">
        <f>C37</f>
        <v>42</v>
      </c>
      <c r="F39" s="162"/>
      <c r="G39" s="238">
        <f>管理者入力シート!B11</f>
        <v>2040</v>
      </c>
      <c r="H39" s="267">
        <f>管理者用人口入力シート!EU31</f>
        <v>2912</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2472</v>
      </c>
      <c r="E43" s="249"/>
      <c r="F43" s="20" t="s">
        <v>231</v>
      </c>
      <c r="H43" s="34"/>
      <c r="I43" s="34"/>
    </row>
    <row r="44" spans="1:9" ht="22.5" customHeight="1" x14ac:dyDescent="0.15">
      <c r="A44" s="248">
        <f>管理者入力シート!B11</f>
        <v>2040</v>
      </c>
      <c r="B44" s="248"/>
      <c r="C44" s="20" t="s">
        <v>417</v>
      </c>
      <c r="D44" s="249">
        <f>管理者用グラフシート!U10</f>
        <v>1772</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19</v>
      </c>
      <c r="E46" s="256"/>
      <c r="F46" s="20" t="s">
        <v>122</v>
      </c>
    </row>
    <row r="47" spans="1:9" ht="22.5" customHeight="1" x14ac:dyDescent="0.15">
      <c r="A47" s="248">
        <f>管理者入力シート!B11</f>
        <v>2040</v>
      </c>
      <c r="B47" s="248"/>
      <c r="C47" s="20" t="s">
        <v>418</v>
      </c>
      <c r="D47" s="256">
        <f>D44-将来予測シート①!D10</f>
        <v>34</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43</v>
      </c>
      <c r="G78" s="249"/>
      <c r="H78" s="82" t="s">
        <v>264</v>
      </c>
      <c r="I78" s="34"/>
    </row>
    <row r="79" spans="1:9" ht="22.5" customHeight="1" x14ac:dyDescent="0.15">
      <c r="A79" s="20" t="s">
        <v>234</v>
      </c>
      <c r="F79" s="249">
        <f>管理者用グラフシート!Q28</f>
        <v>24</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6</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999</v>
      </c>
      <c r="D112" s="249"/>
      <c r="E112" s="20" t="s">
        <v>270</v>
      </c>
      <c r="F112" s="36"/>
      <c r="G112" s="111">
        <f>管理者用グラフシート!Q56</f>
        <v>0.56000000000000005</v>
      </c>
      <c r="H112" s="82" t="s">
        <v>271</v>
      </c>
      <c r="I112" s="34"/>
    </row>
    <row r="113" spans="1:9" ht="22.5" customHeight="1" x14ac:dyDescent="0.15">
      <c r="A113" s="20" t="s">
        <v>268</v>
      </c>
      <c r="C113" s="249">
        <f>管理者用グラフシート!Q46</f>
        <v>699</v>
      </c>
      <c r="D113" s="249"/>
      <c r="E113" s="82" t="s">
        <v>270</v>
      </c>
      <c r="F113" s="34"/>
      <c r="G113" s="111">
        <f>管理者用グラフシート!Q64</f>
        <v>0.39</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436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三財地区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0.70415094339622641</v>
      </c>
      <c r="G7" s="279"/>
      <c r="H7" s="20" t="s">
        <v>282</v>
      </c>
    </row>
    <row r="8" spans="1:8" ht="22.5" customHeight="1" x14ac:dyDescent="0.15">
      <c r="A8" s="34" t="str">
        <f>管理者入力シート!B3</f>
        <v>西都市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三財地区</v>
      </c>
      <c r="B11" s="251"/>
      <c r="C11" s="256">
        <f>管理者用地域特徴シート!D5</f>
        <v>1325</v>
      </c>
      <c r="D11" s="251"/>
      <c r="E11" s="20" t="s">
        <v>413</v>
      </c>
    </row>
    <row r="12" spans="1:8" ht="22.5" customHeight="1" x14ac:dyDescent="0.15">
      <c r="A12" s="251" t="str">
        <f>A8</f>
        <v>西都市</v>
      </c>
      <c r="B12" s="251"/>
      <c r="C12" s="256">
        <f>管理者用地域特徴シート!D4</f>
        <v>11744</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0.19698113207547169</v>
      </c>
      <c r="H23" s="35" t="s">
        <v>286</v>
      </c>
    </row>
    <row r="24" spans="1:8" ht="22.5" customHeight="1" x14ac:dyDescent="0.15">
      <c r="A24" s="34" t="str">
        <f>管理者入力シート!B3</f>
        <v>西都市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0.17446153846153847</v>
      </c>
      <c r="G37" s="279"/>
      <c r="H37" s="20" t="s">
        <v>286</v>
      </c>
    </row>
    <row r="38" spans="1:8" ht="22.5" customHeight="1" x14ac:dyDescent="0.15">
      <c r="A38" s="34" t="str">
        <f>管理者入力シート!B3</f>
        <v>西都市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西都市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318</v>
      </c>
      <c r="F70" s="281"/>
      <c r="G70" s="20" t="s">
        <v>290</v>
      </c>
    </row>
    <row r="71" spans="1:8" ht="22.5" customHeight="1" x14ac:dyDescent="0.15">
      <c r="A71" s="20" t="s">
        <v>295</v>
      </c>
      <c r="F71" s="279">
        <f>管理者用地域特徴シート!AK5</f>
        <v>0.22641509433962265</v>
      </c>
      <c r="G71" s="279"/>
      <c r="H71" s="20" t="s">
        <v>271</v>
      </c>
    </row>
    <row r="72" spans="1:8" ht="22.5" customHeight="1" x14ac:dyDescent="0.15">
      <c r="A72" s="20" t="s">
        <v>296</v>
      </c>
      <c r="F72" s="279">
        <f>管理者用地域特徴シート!AL5</f>
        <v>0.10377358490566038</v>
      </c>
      <c r="G72" s="279"/>
      <c r="H72" s="20" t="s">
        <v>297</v>
      </c>
    </row>
    <row r="73" spans="1:8" ht="22.5" customHeight="1" x14ac:dyDescent="0.15">
      <c r="A73" s="20" t="s">
        <v>298</v>
      </c>
      <c r="E73" s="279"/>
      <c r="F73" s="279"/>
    </row>
    <row r="74" spans="1:8" ht="22.5" customHeight="1" x14ac:dyDescent="0.15">
      <c r="A74" s="20" t="s">
        <v>339</v>
      </c>
      <c r="C74" s="177">
        <f>管理者用地域特徴シート!AN5</f>
        <v>0.39937106918238996</v>
      </c>
      <c r="D74" s="156" t="s">
        <v>299</v>
      </c>
      <c r="E74" s="177">
        <f>管理者用地域特徴シート!AO5</f>
        <v>0.60062893081761004</v>
      </c>
      <c r="F74" s="20" t="s">
        <v>291</v>
      </c>
    </row>
    <row r="76" spans="1:8" ht="22.5" customHeight="1" x14ac:dyDescent="0.15">
      <c r="A76" s="34" t="str">
        <f>管理者入力シート!B3</f>
        <v>西都市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0.71085714285714285</v>
      </c>
      <c r="D139" s="279"/>
      <c r="E139" s="20" t="s">
        <v>316</v>
      </c>
      <c r="F139" s="157" t="str">
        <f>管理者入力シート!B3</f>
        <v>西都市</v>
      </c>
      <c r="G139" s="158" t="s">
        <v>317</v>
      </c>
    </row>
    <row r="140" spans="1:8" ht="22.5" customHeight="1" x14ac:dyDescent="0.15">
      <c r="A140" s="20" t="s">
        <v>318</v>
      </c>
    </row>
    <row r="141" spans="1:8" ht="22.5" customHeight="1" x14ac:dyDescent="0.15">
      <c r="C141" s="279">
        <f>管理者用地域特徴シート!CN5</f>
        <v>0.58241758241758246</v>
      </c>
      <c r="D141" s="279"/>
      <c r="E141" s="20" t="s">
        <v>316</v>
      </c>
      <c r="F141" s="157" t="str">
        <f>管理者入力シート!B3</f>
        <v>西都市</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activeCell="B1" sqref="B1:B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435</v>
      </c>
    </row>
    <row r="3" spans="1:3" x14ac:dyDescent="0.15">
      <c r="A3" s="202" t="s">
        <v>292</v>
      </c>
      <c r="B3" s="32" t="str">
        <f>管理者用地域特徴シート!B5</f>
        <v>西都市</v>
      </c>
    </row>
    <row r="4" spans="1:3" x14ac:dyDescent="0.15">
      <c r="A4" s="153" t="s">
        <v>24</v>
      </c>
      <c r="B4" s="154" t="str">
        <f>管理者用地域特徴シート!C5</f>
        <v>三財地区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activeCell="B1" sqref="B1:B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45208_6</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437</v>
      </c>
      <c r="DW1" s="288"/>
      <c r="DX1" s="283">
        <f>DW17</f>
        <v>42</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63</v>
      </c>
      <c r="E3" s="9">
        <v>73</v>
      </c>
      <c r="F3" s="9">
        <v>90</v>
      </c>
      <c r="G3" s="9">
        <v>108</v>
      </c>
      <c r="H3" s="9">
        <v>92</v>
      </c>
      <c r="I3" s="9">
        <v>94</v>
      </c>
      <c r="J3" s="9">
        <v>94</v>
      </c>
      <c r="K3" s="9">
        <v>77</v>
      </c>
      <c r="L3" s="9">
        <v>96</v>
      </c>
      <c r="M3" s="9">
        <v>145</v>
      </c>
      <c r="N3" s="9">
        <v>205</v>
      </c>
      <c r="O3" s="9">
        <v>191</v>
      </c>
      <c r="P3" s="9">
        <v>140</v>
      </c>
      <c r="Q3" s="9">
        <v>130</v>
      </c>
      <c r="R3" s="9">
        <v>157</v>
      </c>
      <c r="S3" s="9">
        <v>152</v>
      </c>
      <c r="T3" s="9">
        <v>78</v>
      </c>
      <c r="U3" s="9">
        <v>52</v>
      </c>
      <c r="V3" s="9">
        <v>10</v>
      </c>
      <c r="W3" s="9">
        <v>3</v>
      </c>
      <c r="X3" s="9">
        <v>1</v>
      </c>
      <c r="Y3" s="9">
        <f>SUM(D3:X3)</f>
        <v>2051</v>
      </c>
      <c r="Z3" s="9">
        <f>E3*3/5+F3*3/5</f>
        <v>97.8</v>
      </c>
      <c r="AA3" s="9">
        <f>F3*2/5+G3*1/5</f>
        <v>57.6</v>
      </c>
      <c r="AB3" s="9">
        <f t="shared" ref="AB3:AB20" si="0">SUM(Q3:X3)</f>
        <v>583</v>
      </c>
      <c r="AC3" s="9">
        <f>SUM(S3:X3)</f>
        <v>296</v>
      </c>
      <c r="AD3" s="13">
        <f>AB3/Y3</f>
        <v>0.28425158459288152</v>
      </c>
      <c r="AE3" s="13">
        <f>AC3/Y3</f>
        <v>0.14431984397854705</v>
      </c>
      <c r="AF3" s="9">
        <f>SUM(H3:K3)</f>
        <v>357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1.1452622435706536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1.0556802901826536</v>
      </c>
      <c r="AO3" s="6">
        <f t="shared" si="1"/>
        <v>0.80273309195966991</v>
      </c>
      <c r="AP3" s="6">
        <f t="shared" si="1"/>
        <v>0.49397862594962483</v>
      </c>
      <c r="AQ3" s="6">
        <f t="shared" si="1"/>
        <v>0.59286372960445544</v>
      </c>
      <c r="AR3" s="6">
        <f t="shared" si="1"/>
        <v>0.88753241131565841</v>
      </c>
      <c r="AS3" s="6">
        <f t="shared" si="1"/>
        <v>0.90644398234322043</v>
      </c>
      <c r="AT3" s="6">
        <f t="shared" si="1"/>
        <v>1.0054908985221163</v>
      </c>
      <c r="AU3" s="6">
        <f t="shared" si="1"/>
        <v>1.0280135794257204</v>
      </c>
      <c r="AV3" s="6">
        <f t="shared" si="1"/>
        <v>0.96738506003917901</v>
      </c>
      <c r="AW3" s="6">
        <f t="shared" si="1"/>
        <v>0.98762388429900716</v>
      </c>
      <c r="AX3" s="6">
        <f t="shared" si="1"/>
        <v>0.98534116963206808</v>
      </c>
      <c r="AY3" s="6">
        <f t="shared" si="1"/>
        <v>0.93067730654250513</v>
      </c>
      <c r="AZ3" s="6">
        <f t="shared" si="1"/>
        <v>0.89298939079976491</v>
      </c>
      <c r="BA3" s="6">
        <f t="shared" si="1"/>
        <v>0.88699778718770472</v>
      </c>
      <c r="BB3" s="6">
        <f t="shared" si="1"/>
        <v>0.84555804004037316</v>
      </c>
      <c r="BC3" s="6">
        <f t="shared" si="1"/>
        <v>0.61611894028157543</v>
      </c>
      <c r="BD3" s="6">
        <f t="shared" si="1"/>
        <v>0.42174127295780539</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0.41850248473182688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21.023995977527623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31.775857695927389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51.565815589504794</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51.418238756213157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41.698530203291611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19.958333269285848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26.694498722438009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49.847660106163154</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64.586266392495631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80.597497095341282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94.424206837100073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74.88451004404466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99.342497297000421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133.24839214721419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164.68720767829703</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139.54642589083699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78.892425940195182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52.841385235263381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25.799067109557349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13.42202211338472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1.0047829926219087E-2</v>
      </c>
      <c r="CF3" s="9">
        <f t="shared" ref="CF3:CF14" si="2">SUM(BK3:CE3)</f>
        <v>1316.2648819310086</v>
      </c>
      <c r="CG3" s="9">
        <f>BL3*3/5+BM3*3/5</f>
        <v>50.005003971259313</v>
      </c>
      <c r="CH3" s="9">
        <f>BM3*2/5+BN3*1/5</f>
        <v>30.909973987044552</v>
      </c>
      <c r="CI3" s="9">
        <f t="shared" ref="CI3:CI14" si="3">SUM(BX3:CE3)</f>
        <v>608.44697394467494</v>
      </c>
      <c r="CJ3" s="9">
        <f>SUM(BZ3:CE3)</f>
        <v>310.51137411916392</v>
      </c>
      <c r="CK3" s="13">
        <f>CI3/CF3</f>
        <v>0.46225268355717353</v>
      </c>
      <c r="CL3" s="13">
        <f>CJ3/CF3</f>
        <v>0.2359034100063753</v>
      </c>
      <c r="CM3" s="9">
        <f>SUM(BO3:BR3)</f>
        <v>138.19902230117862</v>
      </c>
      <c r="CO3" s="7" t="str">
        <f>CP3&amp;"_"&amp;IF(CQ3="男性",1,IF(CQ3="女性",2,IF(CQ3="合計",3)))</f>
        <v>2025_1</v>
      </c>
      <c r="CP3" s="28">
        <f>管理者入力シート!B8</f>
        <v>2025</v>
      </c>
      <c r="CQ3" s="3" t="s">
        <v>21</v>
      </c>
      <c r="CR3" s="9">
        <f>BK3+将来予測シート②!$G17</f>
        <v>22.023995977527623</v>
      </c>
      <c r="CS3" s="9">
        <f>BL3+将来予測シート②!$G18</f>
        <v>31.775857695927389</v>
      </c>
      <c r="CT3" s="9">
        <f>BM3+将来予測シート②!$G19</f>
        <v>52.565815589504794</v>
      </c>
      <c r="CU3" s="9">
        <f>BN3+将来予測シート②!$G20</f>
        <v>51.418238756213157</v>
      </c>
      <c r="CV3" s="9">
        <f>BO3+将来予測シート②!$G21</f>
        <v>41.698530203291611</v>
      </c>
      <c r="CW3" s="9">
        <f>BP3+将来予測シート②!$G22</f>
        <v>21.958333269285848</v>
      </c>
      <c r="CX3" s="9">
        <f>BQ3+将来予測シート②!$G23</f>
        <v>26.694498722438009</v>
      </c>
      <c r="CY3" s="9">
        <f>BR3+将来予測シート②!$G24</f>
        <v>49.847660106163154</v>
      </c>
      <c r="CZ3" s="9">
        <f>BS3+将来予測シート②!$G25</f>
        <v>64.586266392495631</v>
      </c>
      <c r="DA3" s="9">
        <f>BT3+将来予測シート②!$G26</f>
        <v>80.597497095341282</v>
      </c>
      <c r="DB3" s="9">
        <f>BU3+将来予測シート②!$G27</f>
        <v>94.424206837100073</v>
      </c>
      <c r="DC3" s="9">
        <f>BV3+将来予測シート②!$G28</f>
        <v>74.88451004404466</v>
      </c>
      <c r="DD3" s="9">
        <f>BW3+将来予測シート②!$G29</f>
        <v>99.342497297000421</v>
      </c>
      <c r="DE3" s="9">
        <f>BX3</f>
        <v>133.24839214721419</v>
      </c>
      <c r="DF3" s="9">
        <f t="shared" ref="DF3:DL3" si="4">BY3</f>
        <v>164.68720767829703</v>
      </c>
      <c r="DG3" s="9">
        <f t="shared" si="4"/>
        <v>139.54642589083699</v>
      </c>
      <c r="DH3" s="9">
        <f t="shared" si="4"/>
        <v>78.892425940195182</v>
      </c>
      <c r="DI3" s="9">
        <f t="shared" si="4"/>
        <v>52.841385235263381</v>
      </c>
      <c r="DJ3" s="9">
        <f t="shared" si="4"/>
        <v>25.799067109557349</v>
      </c>
      <c r="DK3" s="9">
        <f t="shared" si="4"/>
        <v>13.42202211338472</v>
      </c>
      <c r="DL3" s="9">
        <f t="shared" si="4"/>
        <v>1.0047829926219087E-2</v>
      </c>
      <c r="DM3" s="9">
        <f t="shared" ref="DM3:DM4" si="5">SUM(CR3:DL3)</f>
        <v>1320.2648819310086</v>
      </c>
      <c r="DN3" s="9">
        <f>CS3*3/5+CT3*3/5</f>
        <v>50.605003971259315</v>
      </c>
      <c r="DO3" s="9">
        <f>CT3*2/5+CU3*1/5</f>
        <v>31.30997398704455</v>
      </c>
      <c r="DP3" s="9">
        <f t="shared" ref="DP3:DP14" si="6">SUM(DE3:DL3)</f>
        <v>608.44697394467494</v>
      </c>
      <c r="DQ3" s="9">
        <f>SUM(DG3:DL3)</f>
        <v>310.51137411916392</v>
      </c>
      <c r="DR3" s="13">
        <f>DP3/DM3</f>
        <v>0.46085219888206475</v>
      </c>
      <c r="DS3" s="13">
        <f>DQ3/DM3</f>
        <v>0.23518869460877617</v>
      </c>
      <c r="DT3" s="9">
        <f>SUM(CV3:CY3)</f>
        <v>140.19902230117862</v>
      </c>
      <c r="DV3" s="287"/>
      <c r="DW3" s="288"/>
      <c r="DX3" s="28">
        <f>管理者入力シート!B8</f>
        <v>2025</v>
      </c>
      <c r="DY3" s="3" t="s">
        <v>21</v>
      </c>
      <c r="DZ3" s="9">
        <f>BK$3</f>
        <v>21.023995977527623</v>
      </c>
      <c r="EA3" s="9">
        <f>BL$3</f>
        <v>31.775857695927389</v>
      </c>
      <c r="EB3" s="9">
        <f t="shared" ref="EB3:ED3" si="7">BM$3</f>
        <v>51.565815589504794</v>
      </c>
      <c r="EC3" s="9">
        <f t="shared" si="7"/>
        <v>51.418238756213157</v>
      </c>
      <c r="ED3" s="9">
        <f t="shared" si="7"/>
        <v>41.698530203291611</v>
      </c>
      <c r="EE3" s="9">
        <f>BP$3+DX1</f>
        <v>61.958333269285845</v>
      </c>
      <c r="EF3" s="9">
        <f>BQ$3+DX1</f>
        <v>68.694498722438013</v>
      </c>
      <c r="EG3" s="9">
        <f>BR$3+DX1</f>
        <v>91.847660106163147</v>
      </c>
      <c r="EH3" s="9">
        <f t="shared" ref="EH3:ET3" si="8">BS$3</f>
        <v>64.586266392495631</v>
      </c>
      <c r="EI3" s="9">
        <f t="shared" si="8"/>
        <v>80.597497095341282</v>
      </c>
      <c r="EJ3" s="9">
        <f t="shared" si="8"/>
        <v>94.424206837100073</v>
      </c>
      <c r="EK3" s="9">
        <f t="shared" si="8"/>
        <v>74.88451004404466</v>
      </c>
      <c r="EL3" s="9">
        <f t="shared" si="8"/>
        <v>99.342497297000421</v>
      </c>
      <c r="EM3" s="9">
        <f t="shared" si="8"/>
        <v>133.24839214721419</v>
      </c>
      <c r="EN3" s="9">
        <f t="shared" si="8"/>
        <v>164.68720767829703</v>
      </c>
      <c r="EO3" s="9">
        <f t="shared" si="8"/>
        <v>139.54642589083699</v>
      </c>
      <c r="EP3" s="9">
        <f t="shared" si="8"/>
        <v>78.892425940195182</v>
      </c>
      <c r="EQ3" s="9">
        <f t="shared" si="8"/>
        <v>52.841385235263381</v>
      </c>
      <c r="ER3" s="9">
        <f t="shared" si="8"/>
        <v>25.799067109557349</v>
      </c>
      <c r="ES3" s="9">
        <f t="shared" si="8"/>
        <v>13.42202211338472</v>
      </c>
      <c r="ET3" s="9">
        <f t="shared" si="8"/>
        <v>1.0047829926219087E-2</v>
      </c>
      <c r="EU3" s="9">
        <f t="shared" ref="EU3:EU4" si="9">SUM(DZ3:ET3)</f>
        <v>1442.2648819310086</v>
      </c>
      <c r="EV3" s="9">
        <f>EA3*3/5+EB3*3/5</f>
        <v>50.005003971259313</v>
      </c>
      <c r="EW3" s="9">
        <f>EB3*2/5+EC3*1/5</f>
        <v>30.909973987044552</v>
      </c>
      <c r="EX3" s="9">
        <f t="shared" ref="EX3:EX14" si="10">SUM(EM3:ET3)</f>
        <v>608.44697394467494</v>
      </c>
      <c r="EY3" s="9">
        <f>SUM(EO3:ET3)</f>
        <v>310.51137411916392</v>
      </c>
      <c r="EZ3" s="13">
        <f>EX3/EU3</f>
        <v>0.42186909046141519</v>
      </c>
      <c r="FA3" s="13">
        <f>EY3/EU3</f>
        <v>0.21529427639077561</v>
      </c>
      <c r="FB3" s="9">
        <f>SUM(ED3:EG3)</f>
        <v>264.19902230117862</v>
      </c>
    </row>
    <row r="4" spans="1:158" x14ac:dyDescent="0.15">
      <c r="A4" s="7" t="str">
        <f t="shared" ref="A4:A14" si="11">B4&amp;"_"&amp;IF(C4="男性",1,IF(C4="女性",2,IF(C4="合計",3)))</f>
        <v>2005_2</v>
      </c>
      <c r="B4" s="29">
        <v>2005</v>
      </c>
      <c r="C4" s="4" t="s">
        <v>22</v>
      </c>
      <c r="D4" s="10">
        <v>56</v>
      </c>
      <c r="E4" s="10">
        <v>72</v>
      </c>
      <c r="F4" s="10">
        <v>80</v>
      </c>
      <c r="G4" s="10">
        <v>110</v>
      </c>
      <c r="H4" s="10">
        <v>116</v>
      </c>
      <c r="I4" s="10">
        <v>87</v>
      </c>
      <c r="J4" s="10">
        <v>94</v>
      </c>
      <c r="K4" s="10">
        <v>75</v>
      </c>
      <c r="L4" s="10">
        <v>92</v>
      </c>
      <c r="M4" s="10">
        <v>166</v>
      </c>
      <c r="N4" s="10">
        <v>191</v>
      </c>
      <c r="O4" s="10">
        <v>207</v>
      </c>
      <c r="P4" s="10">
        <v>160</v>
      </c>
      <c r="Q4" s="10">
        <v>160</v>
      </c>
      <c r="R4" s="10">
        <v>188</v>
      </c>
      <c r="S4" s="10">
        <v>185</v>
      </c>
      <c r="T4" s="10">
        <v>140</v>
      </c>
      <c r="U4" s="10">
        <v>78</v>
      </c>
      <c r="V4" s="10">
        <v>45</v>
      </c>
      <c r="W4" s="10">
        <v>11</v>
      </c>
      <c r="X4" s="10">
        <v>2</v>
      </c>
      <c r="Y4" s="10">
        <f>SUM(D4:X4)</f>
        <v>2315</v>
      </c>
      <c r="Z4" s="10">
        <f t="shared" ref="Z4:Z11" si="12">E4*3/5+F4*3/5</f>
        <v>91.2</v>
      </c>
      <c r="AA4" s="10">
        <f t="shared" ref="AA4:AA11" si="13">F4*2/5+G4*1/5</f>
        <v>54</v>
      </c>
      <c r="AB4" s="10">
        <f t="shared" si="0"/>
        <v>809</v>
      </c>
      <c r="AC4" s="10">
        <f t="shared" ref="AC4:AC11" si="14">SUM(S4:X4)</f>
        <v>461</v>
      </c>
      <c r="AD4" s="14">
        <f t="shared" ref="AD4:AD11" si="15">AB4/Y4</f>
        <v>0.34946004319654428</v>
      </c>
      <c r="AE4" s="14">
        <f t="shared" ref="AE4:AE11" si="16">AC4/Y4</f>
        <v>0.19913606911447085</v>
      </c>
      <c r="AF4" s="10">
        <f t="shared" ref="AF4:AF20" si="17">SUM(H4:K4)</f>
        <v>372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1.0547185924562534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0.94378619791259544</v>
      </c>
      <c r="AO4" s="193">
        <f t="shared" si="18"/>
        <v>0.77790034346780534</v>
      </c>
      <c r="AP4" s="193">
        <f t="shared" si="18"/>
        <v>0.54630381627007041</v>
      </c>
      <c r="AQ4" s="193">
        <f t="shared" si="18"/>
        <v>0.73376477594700307</v>
      </c>
      <c r="AR4" s="193">
        <f t="shared" si="18"/>
        <v>0.91459360469484197</v>
      </c>
      <c r="AS4" s="193">
        <f t="shared" si="18"/>
        <v>0.94930855743566644</v>
      </c>
      <c r="AT4" s="193">
        <f t="shared" si="18"/>
        <v>1.0788319997984006</v>
      </c>
      <c r="AU4" s="193">
        <f t="shared" si="18"/>
        <v>0.94906382362892161</v>
      </c>
      <c r="AV4" s="193">
        <f t="shared" si="18"/>
        <v>0.97841545524797435</v>
      </c>
      <c r="AW4" s="193">
        <f t="shared" si="18"/>
        <v>1.0271594666645285</v>
      </c>
      <c r="AX4" s="193">
        <f t="shared" si="18"/>
        <v>0.97032119844268327</v>
      </c>
      <c r="AY4" s="193">
        <f t="shared" si="18"/>
        <v>0.95453456301391548</v>
      </c>
      <c r="AZ4" s="193">
        <f t="shared" si="18"/>
        <v>1.0016081646056469</v>
      </c>
      <c r="BA4" s="193">
        <f t="shared" si="18"/>
        <v>0.95905604980728987</v>
      </c>
      <c r="BB4" s="193">
        <f t="shared" si="18"/>
        <v>0.91923461107169258</v>
      </c>
      <c r="BC4" s="193">
        <f t="shared" si="18"/>
        <v>0.79065450313619756</v>
      </c>
      <c r="BD4" s="193">
        <f t="shared" si="18"/>
        <v>0.57324744696323249</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0.43749632036580038</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0.17732747984848829</v>
      </c>
      <c r="BH4" s="7" t="str">
        <f t="shared" ref="BH4:BH20" si="19">BI4&amp;"_"&amp;IF(BJ4="男性",1,IF(BJ4="女性",2,IF(BJ4="合計",3)))</f>
        <v>2025_2</v>
      </c>
      <c r="BI4" s="29">
        <f>BI3</f>
        <v>2025</v>
      </c>
      <c r="BJ4" s="4" t="s">
        <v>22</v>
      </c>
      <c r="BK4" s="10">
        <f>CM4*AK$14</f>
        <v>26.642673793668344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41.44270146877021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39.340331841253253</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36.420158328749707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26.964079318726387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26.252774827738591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27.46434010048246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53.95024395769962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67.546713798979042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71.545350982941102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83.270581197516705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72.830496539075781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102.50984945452545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153.21210587274521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181.12281172279873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176.70276266285128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129.48873932741071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102.15113381227911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70.503643434692719</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31.461636125273877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7.0500055890556634</v>
      </c>
      <c r="CF4" s="10">
        <f t="shared" si="2"/>
        <v>1527.8731341572341</v>
      </c>
      <c r="CG4" s="10">
        <f t="shared" ref="CG4:CG14" si="20">BL4*3/5+BM4*3/5</f>
        <v>48.469819986014073</v>
      </c>
      <c r="CH4" s="10">
        <f t="shared" ref="CH4:CH14" si="21">BM4*2/5+BN4*1/5</f>
        <v>23.02016440225124</v>
      </c>
      <c r="CI4" s="10">
        <f t="shared" si="3"/>
        <v>851.6928385471075</v>
      </c>
      <c r="CJ4" s="10">
        <f t="shared" ref="CJ4:CJ14" si="22">SUM(BZ4:CE4)</f>
        <v>517.3579209515633</v>
      </c>
      <c r="CK4" s="14">
        <f t="shared" ref="CK4:CK14" si="23">CI4/CF4</f>
        <v>0.55743688366959621</v>
      </c>
      <c r="CL4" s="14">
        <f t="shared" ref="CL4:CL14" si="24">CJ4/CF4</f>
        <v>0.33861314096404665</v>
      </c>
      <c r="CM4" s="10">
        <f t="shared" ref="CM4:CM14" si="25">SUM(BO4:BR4)</f>
        <v>134.63143820464705</v>
      </c>
      <c r="CO4" s="7" t="str">
        <f t="shared" ref="CO4:CO20" si="26">CP4&amp;"_"&amp;IF(CQ4="男性",1,IF(CQ4="女性",2,IF(CQ4="合計",3)))</f>
        <v>2025_2</v>
      </c>
      <c r="CP4" s="29">
        <f>CP3</f>
        <v>2025</v>
      </c>
      <c r="CQ4" s="4" t="s">
        <v>22</v>
      </c>
      <c r="CR4" s="10">
        <f>BK4+将来予測シート②!$H17</f>
        <v>27.642673793668344</v>
      </c>
      <c r="CS4" s="10">
        <f>BL4+将来予測シート②!$H18</f>
        <v>41.44270146877021</v>
      </c>
      <c r="CT4" s="10">
        <f>BM4+将来予測シート②!$H19</f>
        <v>40.340331841253253</v>
      </c>
      <c r="CU4" s="10">
        <f>BN4+将来予測シート②!$H20</f>
        <v>36.420158328749707</v>
      </c>
      <c r="CV4" s="10">
        <f>BO4+将来予測シート②!$H21</f>
        <v>26.964079318726387</v>
      </c>
      <c r="CW4" s="10">
        <f>BP4+将来予測シート②!$H22</f>
        <v>28.252774827738591</v>
      </c>
      <c r="CX4" s="10">
        <f>BQ4+将来予測シート②!$H23</f>
        <v>27.46434010048246</v>
      </c>
      <c r="CY4" s="10">
        <f>BR4+将来予測シート②!$H24</f>
        <v>53.95024395769962</v>
      </c>
      <c r="CZ4" s="10">
        <f>BS4+将来予測シート②!$H25</f>
        <v>68.546713798979042</v>
      </c>
      <c r="DA4" s="10">
        <f>BT4+将来予測シート②!$H26</f>
        <v>71.545350982941102</v>
      </c>
      <c r="DB4" s="10">
        <f>BU4+将来予測シート②!$H27</f>
        <v>83.270581197516705</v>
      </c>
      <c r="DC4" s="10">
        <f>BV4+将来予測シート②!$H28</f>
        <v>72.830496539075781</v>
      </c>
      <c r="DD4" s="10">
        <f>BW4+将来予測シート②!$H29</f>
        <v>102.50984945452545</v>
      </c>
      <c r="DE4" s="10">
        <f>BX4</f>
        <v>153.21210587274521</v>
      </c>
      <c r="DF4" s="10">
        <f t="shared" ref="DF4" si="27">BY4</f>
        <v>181.12281172279873</v>
      </c>
      <c r="DG4" s="10">
        <f t="shared" ref="DG4" si="28">BZ4</f>
        <v>176.70276266285128</v>
      </c>
      <c r="DH4" s="10">
        <f t="shared" ref="DH4" si="29">CA4</f>
        <v>129.48873932741071</v>
      </c>
      <c r="DI4" s="10">
        <f t="shared" ref="DI4" si="30">CB4</f>
        <v>102.15113381227911</v>
      </c>
      <c r="DJ4" s="10">
        <f t="shared" ref="DJ4" si="31">CC4</f>
        <v>70.503643434692719</v>
      </c>
      <c r="DK4" s="10">
        <f t="shared" ref="DK4" si="32">CD4</f>
        <v>31.461636125273877</v>
      </c>
      <c r="DL4" s="10">
        <f t="shared" ref="DL4" si="33">CE4</f>
        <v>7.0500055890556634</v>
      </c>
      <c r="DM4" s="10">
        <f t="shared" si="5"/>
        <v>1532.8731341572341</v>
      </c>
      <c r="DN4" s="10">
        <f t="shared" ref="DN4:DN14" si="34">CS4*3/5+CT4*3/5</f>
        <v>49.069819986014075</v>
      </c>
      <c r="DO4" s="10">
        <f t="shared" ref="DO4:DO14" si="35">CT4*2/5+CU4*1/5</f>
        <v>23.420164402251245</v>
      </c>
      <c r="DP4" s="10">
        <f t="shared" si="6"/>
        <v>851.6928385471075</v>
      </c>
      <c r="DQ4" s="10">
        <f t="shared" ref="DQ4:DQ14" si="36">SUM(DG4:DL4)</f>
        <v>517.3579209515633</v>
      </c>
      <c r="DR4" s="14">
        <f t="shared" ref="DR4:DR14" si="37">DP4/DM4</f>
        <v>0.55561860898251303</v>
      </c>
      <c r="DS4" s="14">
        <f t="shared" ref="DS4:DS14" si="38">DQ4/DM4</f>
        <v>0.33750863618338778</v>
      </c>
      <c r="DT4" s="10">
        <f>SUM(CV4:CY4)</f>
        <v>136.63143820464705</v>
      </c>
      <c r="DV4" s="287"/>
      <c r="DW4" s="288"/>
      <c r="DX4" s="29">
        <f>DX3</f>
        <v>2025</v>
      </c>
      <c r="DY4" s="4" t="s">
        <v>22</v>
      </c>
      <c r="DZ4" s="10">
        <f>BK$4</f>
        <v>26.642673793668344</v>
      </c>
      <c r="EA4" s="10">
        <f>BL$4</f>
        <v>41.44270146877021</v>
      </c>
      <c r="EB4" s="10">
        <f t="shared" ref="EB4:ED4" si="39">BM$4</f>
        <v>39.340331841253253</v>
      </c>
      <c r="EC4" s="10">
        <f t="shared" si="39"/>
        <v>36.420158328749707</v>
      </c>
      <c r="ED4" s="10">
        <f t="shared" si="39"/>
        <v>26.964079318726387</v>
      </c>
      <c r="EE4" s="10">
        <f>BP$4+DX1</f>
        <v>68.252774827738591</v>
      </c>
      <c r="EF4" s="10">
        <f>BQ$4+DX1</f>
        <v>69.46434010048246</v>
      </c>
      <c r="EG4" s="10">
        <f>BR$4+DX1</f>
        <v>95.950243957699627</v>
      </c>
      <c r="EH4" s="10">
        <f t="shared" ref="EH4:ET4" si="40">BS$4</f>
        <v>67.546713798979042</v>
      </c>
      <c r="EI4" s="10">
        <f t="shared" si="40"/>
        <v>71.545350982941102</v>
      </c>
      <c r="EJ4" s="10">
        <f t="shared" si="40"/>
        <v>83.270581197516705</v>
      </c>
      <c r="EK4" s="10">
        <f t="shared" si="40"/>
        <v>72.830496539075781</v>
      </c>
      <c r="EL4" s="10">
        <f t="shared" si="40"/>
        <v>102.50984945452545</v>
      </c>
      <c r="EM4" s="10">
        <f t="shared" si="40"/>
        <v>153.21210587274521</v>
      </c>
      <c r="EN4" s="10">
        <f t="shared" si="40"/>
        <v>181.12281172279873</v>
      </c>
      <c r="EO4" s="10">
        <f t="shared" si="40"/>
        <v>176.70276266285128</v>
      </c>
      <c r="EP4" s="10">
        <f t="shared" si="40"/>
        <v>129.48873932741071</v>
      </c>
      <c r="EQ4" s="10">
        <f t="shared" si="40"/>
        <v>102.15113381227911</v>
      </c>
      <c r="ER4" s="10">
        <f t="shared" si="40"/>
        <v>70.503643434692719</v>
      </c>
      <c r="ES4" s="10">
        <f t="shared" si="40"/>
        <v>31.461636125273877</v>
      </c>
      <c r="ET4" s="10">
        <f t="shared" si="40"/>
        <v>7.0500055890556634</v>
      </c>
      <c r="EU4" s="10">
        <f t="shared" si="9"/>
        <v>1653.8731341572338</v>
      </c>
      <c r="EV4" s="10">
        <f t="shared" ref="EV4:EV14" si="41">EA4*3/5+EB4*3/5</f>
        <v>48.469819986014073</v>
      </c>
      <c r="EW4" s="10">
        <f t="shared" ref="EW4:EW14" si="42">EB4*2/5+EC4*1/5</f>
        <v>23.02016440225124</v>
      </c>
      <c r="EX4" s="10">
        <f t="shared" si="10"/>
        <v>851.6928385471075</v>
      </c>
      <c r="EY4" s="10">
        <f t="shared" ref="EY4:EY14" si="43">SUM(EO4:ET4)</f>
        <v>517.3579209515633</v>
      </c>
      <c r="EZ4" s="14">
        <f t="shared" ref="EZ4:EZ14" si="44">EX4/EU4</f>
        <v>0.51496866413584119</v>
      </c>
      <c r="FA4" s="14">
        <f t="shared" ref="FA4:FA14" si="45">EY4/EU4</f>
        <v>0.31281596530388894</v>
      </c>
      <c r="FB4" s="10">
        <f>SUM(ED4:EG4)</f>
        <v>260.63143820464705</v>
      </c>
    </row>
    <row r="5" spans="1:158" x14ac:dyDescent="0.15">
      <c r="A5" s="7" t="str">
        <f t="shared" si="11"/>
        <v>2005_3</v>
      </c>
      <c r="B5" s="30">
        <v>2005</v>
      </c>
      <c r="C5" s="5" t="s">
        <v>23</v>
      </c>
      <c r="D5" s="11">
        <v>119</v>
      </c>
      <c r="E5" s="11">
        <v>145</v>
      </c>
      <c r="F5" s="11">
        <v>170</v>
      </c>
      <c r="G5" s="11">
        <v>218</v>
      </c>
      <c r="H5" s="11">
        <v>208</v>
      </c>
      <c r="I5" s="11">
        <v>181</v>
      </c>
      <c r="J5" s="11">
        <v>188</v>
      </c>
      <c r="K5" s="11">
        <v>152</v>
      </c>
      <c r="L5" s="11">
        <v>188</v>
      </c>
      <c r="M5" s="11">
        <v>311</v>
      </c>
      <c r="N5" s="11">
        <v>396</v>
      </c>
      <c r="O5" s="11">
        <v>398</v>
      </c>
      <c r="P5" s="11">
        <v>300</v>
      </c>
      <c r="Q5" s="11">
        <v>290</v>
      </c>
      <c r="R5" s="11">
        <v>345</v>
      </c>
      <c r="S5" s="11">
        <v>337</v>
      </c>
      <c r="T5" s="11">
        <v>218</v>
      </c>
      <c r="U5" s="11">
        <v>130</v>
      </c>
      <c r="V5" s="11">
        <v>55</v>
      </c>
      <c r="W5" s="11">
        <v>14</v>
      </c>
      <c r="X5" s="11">
        <v>3</v>
      </c>
      <c r="Y5" s="11">
        <f>SUM(D5:X5)</f>
        <v>4366</v>
      </c>
      <c r="Z5" s="11">
        <f t="shared" si="12"/>
        <v>189</v>
      </c>
      <c r="AA5" s="11">
        <f t="shared" si="13"/>
        <v>111.6</v>
      </c>
      <c r="AB5" s="11">
        <f t="shared" si="0"/>
        <v>1392</v>
      </c>
      <c r="AC5" s="11">
        <f t="shared" si="14"/>
        <v>757</v>
      </c>
      <c r="AD5" s="15">
        <f t="shared" si="15"/>
        <v>0.31882730187814934</v>
      </c>
      <c r="AE5" s="15">
        <f t="shared" si="16"/>
        <v>0.17338524965643609</v>
      </c>
      <c r="AF5" s="11">
        <f t="shared" si="17"/>
        <v>729</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0.9682747263392425</v>
      </c>
      <c r="AN5" s="6">
        <f t="shared" si="1"/>
        <v>1.037648759870982</v>
      </c>
      <c r="AO5" s="6">
        <f t="shared" si="1"/>
        <v>0.8200075075075075</v>
      </c>
      <c r="AP5" s="6">
        <f t="shared" si="1"/>
        <v>0.77325052325052313</v>
      </c>
      <c r="AQ5" s="6">
        <f t="shared" si="1"/>
        <v>0.78990832938201361</v>
      </c>
      <c r="AR5" s="6">
        <f t="shared" si="1"/>
        <v>0.87704371037704376</v>
      </c>
      <c r="AS5" s="6">
        <f t="shared" si="1"/>
        <v>0.96560514002374465</v>
      </c>
      <c r="AT5" s="6">
        <f t="shared" si="1"/>
        <v>1.0004785004785004</v>
      </c>
      <c r="AU5" s="6">
        <f t="shared" si="1"/>
        <v>0.90634163575340043</v>
      </c>
      <c r="AV5" s="6">
        <f t="shared" si="1"/>
        <v>1.0521346088356398</v>
      </c>
      <c r="AW5" s="6">
        <f t="shared" si="1"/>
        <v>1.0222848748028603</v>
      </c>
      <c r="AX5" s="6">
        <f t="shared" si="1"/>
        <v>0.98585777896122717</v>
      </c>
      <c r="AY5" s="6">
        <f t="shared" si="1"/>
        <v>0.97314622314622323</v>
      </c>
      <c r="AZ5" s="6">
        <f t="shared" si="1"/>
        <v>0.87549682034976151</v>
      </c>
      <c r="BA5" s="6">
        <f t="shared" si="1"/>
        <v>0.87765396975923293</v>
      </c>
      <c r="BB5" s="6">
        <f t="shared" si="1"/>
        <v>0.65992588333013857</v>
      </c>
      <c r="BC5" s="6">
        <f t="shared" si="1"/>
        <v>0.63319960585585577</v>
      </c>
      <c r="BD5" s="6">
        <f t="shared" si="1"/>
        <v>0.48018018018018016</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0.36842105263157893</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47.66666977119597</v>
      </c>
      <c r="BL5" s="16">
        <f t="shared" ref="BL5:CE5" si="46">BL3+BL4</f>
        <v>73.218559164697595</v>
      </c>
      <c r="BM5" s="16">
        <f t="shared" si="46"/>
        <v>90.90614743075804</v>
      </c>
      <c r="BN5" s="16">
        <f t="shared" si="46"/>
        <v>87.838397084962864</v>
      </c>
      <c r="BO5" s="16">
        <f t="shared" si="46"/>
        <v>68.662609522018002</v>
      </c>
      <c r="BP5" s="16">
        <f t="shared" si="46"/>
        <v>46.211108097024436</v>
      </c>
      <c r="BQ5" s="16">
        <f t="shared" si="46"/>
        <v>54.158838822920472</v>
      </c>
      <c r="BR5" s="16">
        <f t="shared" si="46"/>
        <v>103.79790406386277</v>
      </c>
      <c r="BS5" s="16">
        <f t="shared" si="46"/>
        <v>132.13298019147467</v>
      </c>
      <c r="BT5" s="16">
        <f t="shared" si="46"/>
        <v>152.14284807828238</v>
      </c>
      <c r="BU5" s="16">
        <f t="shared" si="46"/>
        <v>177.69478803461678</v>
      </c>
      <c r="BV5" s="16">
        <f t="shared" si="46"/>
        <v>147.71500658312044</v>
      </c>
      <c r="BW5" s="16">
        <f t="shared" si="46"/>
        <v>201.85234675152589</v>
      </c>
      <c r="BX5" s="16">
        <f t="shared" si="46"/>
        <v>286.4604980199594</v>
      </c>
      <c r="BY5" s="16">
        <f t="shared" si="46"/>
        <v>345.81001940109576</v>
      </c>
      <c r="BZ5" s="16">
        <f t="shared" si="46"/>
        <v>316.24918855368827</v>
      </c>
      <c r="CA5" s="16">
        <f t="shared" si="46"/>
        <v>208.38116526760589</v>
      </c>
      <c r="CB5" s="16">
        <f t="shared" si="46"/>
        <v>154.99251904754249</v>
      </c>
      <c r="CC5" s="16">
        <f t="shared" si="46"/>
        <v>96.302710544250061</v>
      </c>
      <c r="CD5" s="16">
        <f t="shared" si="46"/>
        <v>44.883658238658597</v>
      </c>
      <c r="CE5" s="16">
        <f t="shared" si="46"/>
        <v>7.0600534189818829</v>
      </c>
      <c r="CF5" s="11">
        <f>SUM(BK5:CE5)</f>
        <v>2844.1380160882427</v>
      </c>
      <c r="CG5" s="11">
        <f t="shared" si="20"/>
        <v>98.474823957273387</v>
      </c>
      <c r="CH5" s="11">
        <f t="shared" si="21"/>
        <v>53.930138389295792</v>
      </c>
      <c r="CI5" s="11">
        <f t="shared" si="3"/>
        <v>1460.1398124917821</v>
      </c>
      <c r="CJ5" s="11">
        <f t="shared" si="22"/>
        <v>827.86929507072728</v>
      </c>
      <c r="CK5" s="15">
        <f t="shared" si="23"/>
        <v>0.513385709213937</v>
      </c>
      <c r="CL5" s="15">
        <f t="shared" si="24"/>
        <v>0.29107915663296757</v>
      </c>
      <c r="CM5" s="11">
        <f t="shared" si="25"/>
        <v>272.83046050582573</v>
      </c>
      <c r="CO5" s="7" t="str">
        <f t="shared" si="26"/>
        <v>2025_3</v>
      </c>
      <c r="CP5" s="30">
        <f>CP4</f>
        <v>2025</v>
      </c>
      <c r="CQ5" s="5" t="s">
        <v>23</v>
      </c>
      <c r="CR5" s="16">
        <f>CR3+CR4</f>
        <v>49.66666977119597</v>
      </c>
      <c r="CS5" s="16">
        <f t="shared" ref="CS5" si="47">CS3+CS4</f>
        <v>73.218559164697595</v>
      </c>
      <c r="CT5" s="16">
        <f t="shared" ref="CT5" si="48">CT3+CT4</f>
        <v>92.90614743075804</v>
      </c>
      <c r="CU5" s="16">
        <f t="shared" ref="CU5" si="49">CU3+CU4</f>
        <v>87.838397084962864</v>
      </c>
      <c r="CV5" s="16">
        <f t="shared" ref="CV5" si="50">CV3+CV4</f>
        <v>68.662609522018002</v>
      </c>
      <c r="CW5" s="16">
        <f t="shared" ref="CW5" si="51">CW3+CW4</f>
        <v>50.211108097024436</v>
      </c>
      <c r="CX5" s="16">
        <f t="shared" ref="CX5" si="52">CX3+CX4</f>
        <v>54.158838822920472</v>
      </c>
      <c r="CY5" s="16">
        <f t="shared" ref="CY5" si="53">CY3+CY4</f>
        <v>103.79790406386277</v>
      </c>
      <c r="CZ5" s="16">
        <f t="shared" ref="CZ5" si="54">CZ3+CZ4</f>
        <v>133.13298019147467</v>
      </c>
      <c r="DA5" s="16">
        <f t="shared" ref="DA5" si="55">DA3+DA4</f>
        <v>152.14284807828238</v>
      </c>
      <c r="DB5" s="16">
        <f t="shared" ref="DB5" si="56">DB3+DB4</f>
        <v>177.69478803461678</v>
      </c>
      <c r="DC5" s="16">
        <f t="shared" ref="DC5" si="57">DC3+DC4</f>
        <v>147.71500658312044</v>
      </c>
      <c r="DD5" s="16">
        <f t="shared" ref="DD5" si="58">DD3+DD4</f>
        <v>201.85234675152589</v>
      </c>
      <c r="DE5" s="16">
        <f t="shared" ref="DE5" si="59">DE3+DE4</f>
        <v>286.4604980199594</v>
      </c>
      <c r="DF5" s="16">
        <f t="shared" ref="DF5" si="60">DF3+DF4</f>
        <v>345.81001940109576</v>
      </c>
      <c r="DG5" s="16">
        <f t="shared" ref="DG5" si="61">DG3+DG4</f>
        <v>316.24918855368827</v>
      </c>
      <c r="DH5" s="16">
        <f t="shared" ref="DH5" si="62">DH3+DH4</f>
        <v>208.38116526760589</v>
      </c>
      <c r="DI5" s="16">
        <f t="shared" ref="DI5" si="63">DI3+DI4</f>
        <v>154.99251904754249</v>
      </c>
      <c r="DJ5" s="16">
        <f t="shared" ref="DJ5" si="64">DJ3+DJ4</f>
        <v>96.302710544250061</v>
      </c>
      <c r="DK5" s="16">
        <f t="shared" ref="DK5" si="65">DK3+DK4</f>
        <v>44.883658238658597</v>
      </c>
      <c r="DL5" s="16">
        <f t="shared" ref="DL5" si="66">DL3+DL4</f>
        <v>7.0600534189818829</v>
      </c>
      <c r="DM5" s="11">
        <f>SUM(CR5:DL5)</f>
        <v>2853.1380160882427</v>
      </c>
      <c r="DN5" s="11">
        <f t="shared" si="34"/>
        <v>99.674823957273389</v>
      </c>
      <c r="DO5" s="11">
        <f t="shared" si="35"/>
        <v>54.730138389295789</v>
      </c>
      <c r="DP5" s="11">
        <f t="shared" si="6"/>
        <v>1460.1398124917821</v>
      </c>
      <c r="DQ5" s="11">
        <f t="shared" si="36"/>
        <v>827.86929507072728</v>
      </c>
      <c r="DR5" s="15">
        <f t="shared" si="37"/>
        <v>0.51176627427708088</v>
      </c>
      <c r="DS5" s="15">
        <f t="shared" si="38"/>
        <v>0.29016097027292309</v>
      </c>
      <c r="DT5" s="11">
        <f>SUM(CV5:CY5)</f>
        <v>276.83046050582573</v>
      </c>
      <c r="DV5" s="287"/>
      <c r="DW5" s="288"/>
      <c r="DX5" s="30">
        <f>DX4</f>
        <v>2025</v>
      </c>
      <c r="DY5" s="5" t="s">
        <v>23</v>
      </c>
      <c r="DZ5" s="16">
        <f>DZ3+DZ4</f>
        <v>47.66666977119597</v>
      </c>
      <c r="EA5" s="16">
        <f t="shared" ref="EA5:ET5" si="67">EA3+EA4</f>
        <v>73.218559164697595</v>
      </c>
      <c r="EB5" s="16">
        <f t="shared" si="67"/>
        <v>90.90614743075804</v>
      </c>
      <c r="EC5" s="16">
        <f t="shared" si="67"/>
        <v>87.838397084962864</v>
      </c>
      <c r="ED5" s="16">
        <f t="shared" si="67"/>
        <v>68.662609522018002</v>
      </c>
      <c r="EE5" s="16">
        <f t="shared" si="67"/>
        <v>130.21110809702444</v>
      </c>
      <c r="EF5" s="16">
        <f t="shared" si="67"/>
        <v>138.15883882292047</v>
      </c>
      <c r="EG5" s="16">
        <f t="shared" si="67"/>
        <v>187.79790406386277</v>
      </c>
      <c r="EH5" s="16">
        <f t="shared" si="67"/>
        <v>132.13298019147467</v>
      </c>
      <c r="EI5" s="16">
        <f t="shared" si="67"/>
        <v>152.14284807828238</v>
      </c>
      <c r="EJ5" s="16">
        <f t="shared" si="67"/>
        <v>177.69478803461678</v>
      </c>
      <c r="EK5" s="16">
        <f t="shared" si="67"/>
        <v>147.71500658312044</v>
      </c>
      <c r="EL5" s="16">
        <f t="shared" si="67"/>
        <v>201.85234675152589</v>
      </c>
      <c r="EM5" s="16">
        <f t="shared" si="67"/>
        <v>286.4604980199594</v>
      </c>
      <c r="EN5" s="16">
        <f t="shared" si="67"/>
        <v>345.81001940109576</v>
      </c>
      <c r="EO5" s="16">
        <f t="shared" si="67"/>
        <v>316.24918855368827</v>
      </c>
      <c r="EP5" s="16">
        <f t="shared" si="67"/>
        <v>208.38116526760589</v>
      </c>
      <c r="EQ5" s="16">
        <f t="shared" si="67"/>
        <v>154.99251904754249</v>
      </c>
      <c r="ER5" s="16">
        <f t="shared" si="67"/>
        <v>96.302710544250061</v>
      </c>
      <c r="ES5" s="16">
        <f t="shared" si="67"/>
        <v>44.883658238658597</v>
      </c>
      <c r="ET5" s="16">
        <f t="shared" si="67"/>
        <v>7.0600534189818829</v>
      </c>
      <c r="EU5" s="11">
        <f>SUM(DZ5:ET5)</f>
        <v>3096.1380160882427</v>
      </c>
      <c r="EV5" s="11">
        <f t="shared" si="41"/>
        <v>98.474823957273387</v>
      </c>
      <c r="EW5" s="11">
        <f t="shared" si="42"/>
        <v>53.930138389295792</v>
      </c>
      <c r="EX5" s="11">
        <f t="shared" si="10"/>
        <v>1460.1398124917821</v>
      </c>
      <c r="EY5" s="11">
        <f t="shared" si="43"/>
        <v>827.86929507072728</v>
      </c>
      <c r="EZ5" s="15">
        <f t="shared" si="44"/>
        <v>0.47160036306668535</v>
      </c>
      <c r="FA5" s="15">
        <f t="shared" si="45"/>
        <v>0.26738772327620042</v>
      </c>
      <c r="FB5" s="11">
        <f>SUM(ED5:EG5)</f>
        <v>524.83046050582573</v>
      </c>
    </row>
    <row r="6" spans="1:158" x14ac:dyDescent="0.15">
      <c r="A6" s="7" t="str">
        <f t="shared" si="11"/>
        <v>2010_1</v>
      </c>
      <c r="B6" s="28">
        <v>2010</v>
      </c>
      <c r="C6" s="3" t="s">
        <v>21</v>
      </c>
      <c r="D6" s="9">
        <v>62</v>
      </c>
      <c r="E6" s="9">
        <v>81</v>
      </c>
      <c r="F6" s="9">
        <v>72</v>
      </c>
      <c r="G6" s="9">
        <v>66</v>
      </c>
      <c r="H6" s="9">
        <v>76</v>
      </c>
      <c r="I6" s="9">
        <v>81</v>
      </c>
      <c r="J6" s="9">
        <v>86</v>
      </c>
      <c r="K6" s="9">
        <v>91</v>
      </c>
      <c r="L6" s="9">
        <v>85</v>
      </c>
      <c r="M6" s="9">
        <v>97</v>
      </c>
      <c r="N6" s="9">
        <v>139</v>
      </c>
      <c r="O6" s="9">
        <v>203</v>
      </c>
      <c r="P6" s="9">
        <v>182</v>
      </c>
      <c r="Q6" s="9">
        <v>136</v>
      </c>
      <c r="R6" s="9">
        <v>114</v>
      </c>
      <c r="S6" s="9">
        <v>141</v>
      </c>
      <c r="T6" s="9">
        <v>128</v>
      </c>
      <c r="U6" s="9">
        <v>50</v>
      </c>
      <c r="V6" s="9">
        <v>19</v>
      </c>
      <c r="W6" s="9">
        <v>3</v>
      </c>
      <c r="X6" s="9">
        <v>1</v>
      </c>
      <c r="Y6" s="9">
        <f t="shared" ref="Y6:Y11" si="68">SUM(D6:X6)</f>
        <v>1913</v>
      </c>
      <c r="Z6" s="9">
        <f t="shared" si="12"/>
        <v>91.800000000000011</v>
      </c>
      <c r="AA6" s="9">
        <f t="shared" si="13"/>
        <v>42</v>
      </c>
      <c r="AB6" s="9">
        <f t="shared" si="0"/>
        <v>592</v>
      </c>
      <c r="AC6" s="9">
        <f t="shared" si="14"/>
        <v>342</v>
      </c>
      <c r="AD6" s="13">
        <f t="shared" si="15"/>
        <v>0.30946157867224255</v>
      </c>
      <c r="AE6" s="13">
        <f t="shared" si="16"/>
        <v>0.17877679038159958</v>
      </c>
      <c r="AF6" s="9">
        <f t="shared" si="17"/>
        <v>334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1.1136363636363635</v>
      </c>
      <c r="AN6" s="193">
        <f t="shared" si="18"/>
        <v>0.87692307692307692</v>
      </c>
      <c r="AO6" s="193">
        <f t="shared" si="18"/>
        <v>0.79729729729729726</v>
      </c>
      <c r="AP6" s="193">
        <f t="shared" si="18"/>
        <v>0.67692307692307696</v>
      </c>
      <c r="AQ6" s="193">
        <f t="shared" si="18"/>
        <v>0.90410958904109584</v>
      </c>
      <c r="AR6" s="193">
        <f t="shared" si="18"/>
        <v>0.79120879120879117</v>
      </c>
      <c r="AS6" s="193">
        <f t="shared" si="18"/>
        <v>0.84146341463414631</v>
      </c>
      <c r="AT6" s="193">
        <f t="shared" si="18"/>
        <v>0.90526315789473688</v>
      </c>
      <c r="AU6" s="193">
        <f t="shared" si="18"/>
        <v>0.97333333333333338</v>
      </c>
      <c r="AV6" s="193">
        <f t="shared" si="18"/>
        <v>1.0638297872340425</v>
      </c>
      <c r="AW6" s="193">
        <f t="shared" si="18"/>
        <v>1.0122699386503067</v>
      </c>
      <c r="AX6" s="193">
        <f t="shared" si="18"/>
        <v>1.0264550264550265</v>
      </c>
      <c r="AY6" s="193">
        <f t="shared" si="18"/>
        <v>0.95939086294416243</v>
      </c>
      <c r="AZ6" s="193">
        <f t="shared" si="18"/>
        <v>0.95512820512820518</v>
      </c>
      <c r="BA6" s="193">
        <f t="shared" si="18"/>
        <v>0.90849673202614378</v>
      </c>
      <c r="BB6" s="193">
        <f t="shared" si="18"/>
        <v>0.8932584269662921</v>
      </c>
      <c r="BC6" s="193">
        <f t="shared" si="18"/>
        <v>0.80838323353293418</v>
      </c>
      <c r="BD6" s="193">
        <f t="shared" si="18"/>
        <v>0.54867256637168138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0.37777777777777777</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0.38095238095238093</v>
      </c>
      <c r="BH6" s="7" t="str">
        <f t="shared" si="19"/>
        <v>2030_1</v>
      </c>
      <c r="BI6" s="28">
        <f>管理者入力シート!B9</f>
        <v>2030</v>
      </c>
      <c r="BJ6" s="3" t="s">
        <v>21</v>
      </c>
      <c r="BK6" s="9">
        <f>CM7*$AK$13</f>
        <v>14.20877090330309</v>
      </c>
      <c r="BL6" s="9">
        <f>IF(管理者入力シート!$B$14=1,BK3*管理者用人口入力シート!AM$3,IF(管理者入力シート!$B$14=2,BK3*管理者用人口入力シート!AM$7))</f>
        <v>22.13946054428926</v>
      </c>
      <c r="BM6" s="9">
        <f>IF(管理者入力シート!$B$14=1,BL3*管理者用人口入力シート!AN$3,IF(管理者入力シート!$B$14=2,BL3*管理者用人口入力シート!AN$7))</f>
        <v>33.25742912236035</v>
      </c>
      <c r="BN6" s="9">
        <f>IF(管理者入力シート!$B$14=1,BM3*管理者用人口入力シート!AO$3,IF(管理者入力シート!$B$14=2,BM3*管理者用人口入力シート!AO$7))</f>
        <v>41.836600576914662</v>
      </c>
      <c r="BO6" s="9">
        <f>IF(管理者入力シート!$B$14=1,BN3*管理者用人口入力シート!AP$3,IF(管理者入力シート!$B$14=2,BN3*管理者用人口入力シート!AP$7))</f>
        <v>31.778353128197054</v>
      </c>
      <c r="BP6" s="9">
        <f>IF(管理者入力シート!$B$14=1,BO3*管理者用人口入力シート!AQ$3,IF(管理者入力シート!$B$14=2,BO3*管理者用人口入力シート!AQ$7))</f>
        <v>28.535568862788669</v>
      </c>
      <c r="BQ6" s="9">
        <f>IF(管理者入力シート!$B$14=1,BP3*管理者用人口入力シート!AR$3,IF(管理者入力シート!$B$14=2,BP3*管理者用人口入力シート!AR$7))</f>
        <v>17.608688078576705</v>
      </c>
      <c r="BR6" s="9">
        <f>IF(管理者入力シート!$B$14=1,BQ3*管理者用人口入力シート!AS$3,IF(管理者入力シート!$B$14=2,BQ3*管理者用人口入力シート!AS$7))</f>
        <v>24.974226114897299</v>
      </c>
      <c r="BS6" s="9">
        <f>IF(管理者入力シート!$B$14=1,BR3*管理者用人口入力シート!AT$3,IF(管理者入力シート!$B$14=2,BR3*管理者用人口入力シート!AT$7))</f>
        <v>49.996284310574033</v>
      </c>
      <c r="BT6" s="9">
        <f>IF(管理者入力シート!$B$14=1,BS3*管理者用人口入力シート!AU$3,IF(管理者入力シート!$B$14=2,BS3*管理者用人口入力シート!AU$7))</f>
        <v>62.342694782727058</v>
      </c>
      <c r="BU6" s="9">
        <f>IF(管理者入力シート!$B$14=1,BT3*管理者用人口入力シート!AV$3,IF(管理者入力シート!$B$14=2,BT3*管理者用人口入力シート!AV$7))</f>
        <v>81.312421853368534</v>
      </c>
      <c r="BV6" s="9">
        <f>IF(管理者入力シート!$B$14=1,BU3*管理者用人口入力シート!AW$3,IF(管理者入力シート!$B$14=2,BU3*管理者用人口入力シート!AW$7))</f>
        <v>94.877909084449058</v>
      </c>
      <c r="BW6" s="9">
        <f>IF(管理者入力シート!$B$14=1,BV3*管理者用人口入力シート!AX$3,IF(管理者入力シート!$B$14=2,BV3*管理者用人口入力シート!AX$7))</f>
        <v>73.806131197675512</v>
      </c>
      <c r="BX6" s="9">
        <f>IF(管理者入力シート!$B$14=1,BW3*管理者用人口入力シート!AY$3,IF(管理者入力シート!$B$14=2,BW3*管理者用人口入力シート!AY$7))</f>
        <v>94.541760687108422</v>
      </c>
      <c r="BY6" s="9">
        <f>IF(管理者入力シート!$B$14=1,BX3*管理者用人口入力シート!AZ$3,IF(管理者入力シート!$B$14=2,BX3*管理者用人口入力シート!AZ$7))</f>
        <v>117.81820816178082</v>
      </c>
      <c r="BZ6" s="9">
        <f>IF(管理者入力シート!$B$14=1,BY3*管理者用人口入力シート!BA$3,IF(管理者入力シート!$B$14=2,BY3*管理者用人口入力シート!BA$7))</f>
        <v>145.3057481807555</v>
      </c>
      <c r="CA6" s="9">
        <f>IF(管理者入力シート!$B$14=1,BZ3*管理者用人口入力シート!BB$3,IF(管理者入力シート!$B$14=2,BZ3*管理者用人口入力シート!BB$7))</f>
        <v>104.24086597189711</v>
      </c>
      <c r="CB6" s="9">
        <f>IF(管理者入力シート!$B$14=1,CA3*管理者用人口入力シート!BC$3,IF(管理者入力シート!$B$14=2,CA3*管理者用人口入力シート!BC$7))</f>
        <v>49.276279352794887</v>
      </c>
      <c r="CC6" s="9">
        <f>IF(管理者入力シート!$B$14=1,CB3*管理者用人口入力シート!BD$3,IF(管理者入力シート!$B$14=2,CB3*管理者用人口入力シート!BD$7))</f>
        <v>23.779316180781983</v>
      </c>
      <c r="CD6" s="9">
        <f>IF(管理者入力シート!$B$14=1,CC3*管理者用人口入力シート!BE$3,IF(管理者入力シート!$B$14=2,CC3*管理者用人口入力シート!BE$7))</f>
        <v>10.130368470201084</v>
      </c>
      <c r="CE6" s="9">
        <f>IF(管理者入力シート!$B$14=1,CD3*管理者用人口入力シート!BF$3,IF(管理者入力シート!$B$14=2,CD3*管理者用人口入力シート!BF$7))</f>
        <v>1.342202211338472E-2</v>
      </c>
      <c r="CF6" s="9">
        <f t="shared" si="2"/>
        <v>1121.7805075875547</v>
      </c>
      <c r="CG6" s="9">
        <f t="shared" si="20"/>
        <v>33.238133799989768</v>
      </c>
      <c r="CH6" s="9">
        <f t="shared" si="21"/>
        <v>21.670291764327075</v>
      </c>
      <c r="CI6" s="9">
        <f t="shared" si="3"/>
        <v>545.10596902743316</v>
      </c>
      <c r="CJ6" s="9">
        <f t="shared" si="22"/>
        <v>332.74600017854391</v>
      </c>
      <c r="CK6" s="13">
        <f t="shared" si="23"/>
        <v>0.48592925740857357</v>
      </c>
      <c r="CL6" s="13">
        <f t="shared" si="24"/>
        <v>0.29662308974696922</v>
      </c>
      <c r="CM6" s="9">
        <f t="shared" si="25"/>
        <v>102.89683618445972</v>
      </c>
      <c r="CO6" s="7" t="str">
        <f t="shared" si="26"/>
        <v>2030_1</v>
      </c>
      <c r="CP6" s="28">
        <f>管理者入力シート!B9</f>
        <v>2030</v>
      </c>
      <c r="CQ6" s="3" t="s">
        <v>21</v>
      </c>
      <c r="CR6" s="9">
        <f>DT7*$AK$13+将来予測シート②!$G17</f>
        <v>15.786769890828227</v>
      </c>
      <c r="CS6" s="9">
        <f>IF(管理者入力シート!$B$14=1,CR3*管理者用人口入力シート!AM$3,IF(管理者入力シート!$B$14=2,CR3*管理者用人口入力シート!AM$7))+将来予測シート②!$G18</f>
        <v>23.192517278506386</v>
      </c>
      <c r="CT6" s="9">
        <f>IF(管理者入力シート!$B$14=1,CS3*管理者用人口入力シート!AN$3,IF(管理者入力シート!$B$14=2,CS3*管理者用人口入力シート!AN$7))+将来予測シート②!$G19</f>
        <v>34.25742912236035</v>
      </c>
      <c r="CU6" s="9">
        <f>IF(管理者入力シート!$B$14=1,CT3*管理者用人口入力シート!AO$3,IF(管理者入力シート!$B$14=2,CT3*管理者用人口入力シート!AO$7))+将来予測シート②!$G20</f>
        <v>42.647924902897586</v>
      </c>
      <c r="CV6" s="9">
        <f>IF(管理者入力シート!$B$14=1,CU3*管理者用人口入力シート!AP$3,IF(管理者入力シート!$B$14=2,CU3*管理者用人口入力シート!AP$7))+将来予測シート②!$G21</f>
        <v>31.778353128197054</v>
      </c>
      <c r="CW6" s="9">
        <f>IF(管理者入力シート!$B$14=1,CV3*管理者用人口入力シート!AQ$3,IF(管理者入力シート!$B$14=2,CV3*管理者用人口入力シート!AQ$7))+将来予測シート②!$G22</f>
        <v>30.535568862788669</v>
      </c>
      <c r="CX6" s="9">
        <f>IF(管理者入力シート!$B$14=1,CW3*管理者用人口入力シート!AR$3,IF(管理者入力シート!$B$14=2,CW3*管理者用人口入力シート!AR$7))+将来予測シート②!$G23</f>
        <v>19.373233027395145</v>
      </c>
      <c r="CY6" s="9">
        <f>IF(管理者入力シート!$B$14=1,CX3*管理者用人口入力シート!AS$3,IF(管理者入力シート!$B$14=2,CX3*管理者用人口入力シート!AS$7))+将来予測シート②!$G24</f>
        <v>24.974226114897299</v>
      </c>
      <c r="CZ6" s="9">
        <f>IF(管理者入力シート!$B$14=1,CY3*管理者用人口入力シート!AT$3,IF(管理者入力シート!$B$14=2,CY3*管理者用人口入力シート!AT$7))+将来予測シート②!$G25</f>
        <v>49.996284310574033</v>
      </c>
      <c r="DA6" s="9">
        <f>IF(管理者入力シート!$B$14=1,CZ3*管理者用人口入力シート!AU$3,IF(管理者入力シート!$B$14=2,CZ3*管理者用人口入力シート!AU$7))+将来予測シート②!$G26</f>
        <v>62.342694782727058</v>
      </c>
      <c r="DB6" s="9">
        <f>IF(管理者入力シート!$B$14=1,DA3*管理者用人口入力シート!AV$3,IF(管理者入力シート!$B$14=2,DA3*管理者用人口入力シート!AV$7))+将来予測シート②!$G27</f>
        <v>81.312421853368534</v>
      </c>
      <c r="DC6" s="9">
        <f>IF(管理者入力シート!$B$14=1,DB3*管理者用人口入力シート!AW$3,IF(管理者入力シート!$B$14=2,DB3*管理者用人口入力シート!AW$7))+将来予測シート②!$G28</f>
        <v>94.877909084449058</v>
      </c>
      <c r="DD6" s="9">
        <f>IF(管理者入力シート!$B$14=1,DC3*管理者用人口入力シート!AX$3,IF(管理者入力シート!$B$14=2,DC3*管理者用人口入力シート!AX$7))+将来予測シート②!$G29</f>
        <v>73.806131197675512</v>
      </c>
      <c r="DE6" s="9">
        <f>IF(管理者入力シート!$B$14=1,DD3*管理者用人口入力シート!AY$3,IF(管理者入力シート!$B$14=2,DD3*管理者用人口入力シート!AY$7))</f>
        <v>94.541760687108422</v>
      </c>
      <c r="DF6" s="9">
        <f>IF(管理者入力シート!$B$14=1,DE3*管理者用人口入力シート!AZ$3,IF(管理者入力シート!$B$14=2,DE3*管理者用人口入力シート!AZ$7))</f>
        <v>117.81820816178082</v>
      </c>
      <c r="DG6" s="9">
        <f>IF(管理者入力シート!$B$14=1,DF3*管理者用人口入力シート!BA$3,IF(管理者入力シート!$B$14=2,DF3*管理者用人口入力シート!BA$7))</f>
        <v>145.3057481807555</v>
      </c>
      <c r="DH6" s="9">
        <f>IF(管理者入力シート!$B$14=1,DG3*管理者用人口入力シート!BB$3,IF(管理者入力シート!$B$14=2,DG3*管理者用人口入力シート!BB$7))</f>
        <v>104.24086597189711</v>
      </c>
      <c r="DI6" s="9">
        <f>IF(管理者入力シート!$B$14=1,DH3*管理者用人口入力シート!BC$3,IF(管理者入力シート!$B$14=2,DH3*管理者用人口入力シート!BC$7))</f>
        <v>49.276279352794887</v>
      </c>
      <c r="DJ6" s="9">
        <f>IF(管理者入力シート!$B$14=1,DI3*管理者用人口入力シート!BD$3,IF(管理者入力シート!$B$14=2,DI3*管理者用人口入力シート!BD$7))</f>
        <v>23.779316180781983</v>
      </c>
      <c r="DK6" s="9">
        <f>IF(管理者入力シート!$B$14=1,DJ3*管理者用人口入力シート!BE$3,IF(管理者入力シート!$B$14=2,DJ3*管理者用人口入力シート!BE$7))</f>
        <v>10.130368470201084</v>
      </c>
      <c r="DL6" s="9">
        <f>IF(管理者入力シート!$B$14=1,DK3*管理者用人口入力シート!BF$3,IF(管理者入力シート!$B$14=2,DK3*管理者用人口入力シート!BF$7))</f>
        <v>1.342202211338472E-2</v>
      </c>
      <c r="DM6" s="9">
        <f t="shared" ref="DM6:DM14" si="69">SUM(CR6:DL6)</f>
        <v>1129.9874325840983</v>
      </c>
      <c r="DN6" s="9">
        <f t="shared" si="34"/>
        <v>34.469967840520042</v>
      </c>
      <c r="DO6" s="9">
        <f t="shared" si="35"/>
        <v>22.232556629523657</v>
      </c>
      <c r="DP6" s="9">
        <f t="shared" si="6"/>
        <v>545.10596902743316</v>
      </c>
      <c r="DQ6" s="9">
        <f t="shared" si="36"/>
        <v>332.74600017854391</v>
      </c>
      <c r="DR6" s="13">
        <f t="shared" si="37"/>
        <v>0.4824000279196593</v>
      </c>
      <c r="DS6" s="13">
        <f t="shared" si="38"/>
        <v>0.2944687618495081</v>
      </c>
      <c r="DT6" s="9">
        <f t="shared" ref="DT6:DT14" si="70">SUM(CV6:CY6)</f>
        <v>106.66138113327816</v>
      </c>
      <c r="DV6" s="7" t="s">
        <v>400</v>
      </c>
      <c r="DX6" s="28">
        <f>管理者入力シート!B9</f>
        <v>2030</v>
      </c>
      <c r="DY6" s="3" t="s">
        <v>21</v>
      </c>
      <c r="DZ6" s="9">
        <f>FB7*$AK$13</f>
        <v>45.32607206181023</v>
      </c>
      <c r="EA6" s="129">
        <f>IF(管理者入力シート!$B$14=1,DZ3*管理者用人口入力シート!AM$3,IF(管理者入力シート!$B$14=2,DZ3*管理者用人口入力シート!AM$7))</f>
        <v>22.13946054428926</v>
      </c>
      <c r="EB6" s="9">
        <f>IF(管理者入力シート!$B$14=1,EA3*管理者用人口入力シート!AN$3,IF(管理者入力シート!$B$14=2,EA3*管理者用人口入力シート!AN$7))</f>
        <v>33.25742912236035</v>
      </c>
      <c r="EC6" s="9">
        <f>IF(管理者入力シート!$B$14=1,EB3*管理者用人口入力シート!AO$3,IF(管理者入力シート!$B$14=2,EB3*管理者用人口入力シート!AO$7))</f>
        <v>41.836600576914662</v>
      </c>
      <c r="ED6" s="9">
        <f>IF(管理者入力シート!$B$14=1,EC3*管理者用人口入力シート!AP$3,IF(管理者入力シート!$B$14=2,EC3*管理者用人口入力シート!AP$7))</f>
        <v>31.778353128197054</v>
      </c>
      <c r="EE6" s="9">
        <f>IF(管理者入力シート!$B$14=1,ED3*管理者用人口入力シート!AQ$3,IF(管理者入力シート!$B$14=2,ED3*管理者用人口入力シート!AQ$7))+DX1</f>
        <v>70.535568862788665</v>
      </c>
      <c r="EF6" s="9">
        <f>IF(管理者入力シート!$B$14=1,EE3*管理者用人口入力シート!AR$3,IF(管理者入力シート!$B$14=2,EE3*管理者用人口入力シート!AR$7))+DX1</f>
        <v>96.664132003763996</v>
      </c>
      <c r="EG6" s="9">
        <f>IF(管理者入力シート!$B$14=1,EF3*管理者用人口入力シート!AS$3,IF(管理者入力シート!$B$14=2,EF3*管理者用人口入力シート!AS$7))+DX1</f>
        <v>106.26762164676474</v>
      </c>
      <c r="EH6" s="9">
        <f>IF(管理者入力シート!$B$14=1,EG3*管理者用人口入力シート!AT$3,IF(管理者入力シート!$B$14=2,EG3*管理者用人口入力シート!AT$7))</f>
        <v>92.121510180192843</v>
      </c>
      <c r="EI6" s="9">
        <f>IF(管理者入力シート!$B$14=1,EH3*管理者用人口入力シート!AU$3,IF(管理者入力シート!$B$14=2,EH3*管理者用人口入力シート!AU$7))</f>
        <v>62.342694782727058</v>
      </c>
      <c r="EJ6" s="9">
        <f>IF(管理者入力シート!$B$14=1,EI3*管理者用人口入力シート!AV$3,IF(管理者入力シート!$B$14=2,EI3*管理者用人口入力シート!AV$7))</f>
        <v>81.312421853368534</v>
      </c>
      <c r="EK6" s="9">
        <f>IF(管理者入力シート!$B$14=1,EJ3*管理者用人口入力シート!AW$3,IF(管理者入力シート!$B$14=2,EJ3*管理者用人口入力シート!AW$7))</f>
        <v>94.877909084449058</v>
      </c>
      <c r="EL6" s="9">
        <f>IF(管理者入力シート!$B$14=1,EK3*管理者用人口入力シート!AX$3,IF(管理者入力シート!$B$14=2,EK3*管理者用人口入力シート!AX$7))</f>
        <v>73.806131197675512</v>
      </c>
      <c r="EM6" s="9">
        <f>IF(管理者入力シート!$B$14=1,EL3*管理者用人口入力シート!AY$3,IF(管理者入力シート!$B$14=2,EL3*管理者用人口入力シート!AY$7))</f>
        <v>94.541760687108422</v>
      </c>
      <c r="EN6" s="9">
        <f>IF(管理者入力シート!$B$14=1,EM3*管理者用人口入力シート!AZ$3,IF(管理者入力シート!$B$14=2,EM3*管理者用人口入力シート!AZ$7))</f>
        <v>117.81820816178082</v>
      </c>
      <c r="EO6" s="9">
        <f>IF(管理者入力シート!$B$14=1,EN3*管理者用人口入力シート!BA$3,IF(管理者入力シート!$B$14=2,EN3*管理者用人口入力シート!BA$7))</f>
        <v>145.3057481807555</v>
      </c>
      <c r="EP6" s="9">
        <f>IF(管理者入力シート!$B$14=1,EO3*管理者用人口入力シート!BB$3,IF(管理者入力シート!$B$14=2,EO3*管理者用人口入力シート!BB$7))</f>
        <v>104.24086597189711</v>
      </c>
      <c r="EQ6" s="9">
        <f>IF(管理者入力シート!$B$14=1,EP3*管理者用人口入力シート!BC$3,IF(管理者入力シート!$B$14=2,EP3*管理者用人口入力シート!BC$7))</f>
        <v>49.276279352794887</v>
      </c>
      <c r="ER6" s="9">
        <f>IF(管理者入力シート!$B$14=1,EQ3*管理者用人口入力シート!BD$3,IF(管理者入力シート!$B$14=2,EQ3*管理者用人口入力シート!BD$7))</f>
        <v>23.779316180781983</v>
      </c>
      <c r="ES6" s="9">
        <f>IF(管理者入力シート!$B$14=1,ER3*管理者用人口入力シート!BE$3,IF(管理者入力シート!$B$14=2,ER3*管理者用人口入力シート!BE$7))</f>
        <v>10.130368470201084</v>
      </c>
      <c r="ET6" s="9">
        <f>IF(管理者入力シート!$B$14=1,ES3*管理者用人口入力シート!BF$3,IF(管理者入力シート!$B$14=2,ES3*管理者用人口入力シート!BF$7))</f>
        <v>1.342202211338472E-2</v>
      </c>
      <c r="EU6" s="9">
        <f t="shared" ref="EU6:EU14" si="71">SUM(DZ6:ET6)</f>
        <v>1397.3718740727352</v>
      </c>
      <c r="EV6" s="9">
        <f t="shared" si="41"/>
        <v>33.238133799989768</v>
      </c>
      <c r="EW6" s="9">
        <f t="shared" si="42"/>
        <v>21.670291764327075</v>
      </c>
      <c r="EX6" s="9">
        <f t="shared" si="10"/>
        <v>545.10596902743316</v>
      </c>
      <c r="EY6" s="9">
        <f t="shared" si="43"/>
        <v>332.74600017854391</v>
      </c>
      <c r="EZ6" s="13">
        <f t="shared" si="44"/>
        <v>0.39009370314480768</v>
      </c>
      <c r="FA6" s="13">
        <f t="shared" si="45"/>
        <v>0.23812272620654165</v>
      </c>
      <c r="FB6" s="9">
        <f t="shared" ref="FB6:FB14" si="72">SUM(ED6:EG6)</f>
        <v>305.24567564151442</v>
      </c>
    </row>
    <row r="7" spans="1:158" x14ac:dyDescent="0.15">
      <c r="A7" s="7" t="str">
        <f t="shared" si="11"/>
        <v>2010_2</v>
      </c>
      <c r="B7" s="29">
        <v>2010</v>
      </c>
      <c r="C7" s="4" t="s">
        <v>22</v>
      </c>
      <c r="D7" s="10">
        <v>44</v>
      </c>
      <c r="E7" s="10">
        <v>65</v>
      </c>
      <c r="F7" s="10">
        <v>74</v>
      </c>
      <c r="G7" s="10">
        <v>65</v>
      </c>
      <c r="H7" s="10">
        <v>73</v>
      </c>
      <c r="I7" s="10">
        <v>91</v>
      </c>
      <c r="J7" s="10">
        <v>82</v>
      </c>
      <c r="K7" s="10">
        <v>95</v>
      </c>
      <c r="L7" s="10">
        <v>75</v>
      </c>
      <c r="M7" s="10">
        <v>94</v>
      </c>
      <c r="N7" s="10">
        <v>163</v>
      </c>
      <c r="O7" s="10">
        <v>189</v>
      </c>
      <c r="P7" s="10">
        <v>197</v>
      </c>
      <c r="Q7" s="10">
        <v>156</v>
      </c>
      <c r="R7" s="10">
        <v>153</v>
      </c>
      <c r="S7" s="10">
        <v>178</v>
      </c>
      <c r="T7" s="10">
        <v>167</v>
      </c>
      <c r="U7" s="10">
        <v>113</v>
      </c>
      <c r="V7" s="10">
        <v>45</v>
      </c>
      <c r="W7" s="10">
        <v>21</v>
      </c>
      <c r="X7" s="10">
        <v>3</v>
      </c>
      <c r="Y7" s="10">
        <f t="shared" si="68"/>
        <v>2143</v>
      </c>
      <c r="Z7" s="10">
        <f t="shared" si="12"/>
        <v>83.4</v>
      </c>
      <c r="AA7" s="10">
        <f t="shared" si="13"/>
        <v>42.6</v>
      </c>
      <c r="AB7" s="10">
        <f t="shared" si="0"/>
        <v>836</v>
      </c>
      <c r="AC7" s="10">
        <f t="shared" si="14"/>
        <v>527</v>
      </c>
      <c r="AD7" s="14">
        <f t="shared" si="15"/>
        <v>0.39010732617825478</v>
      </c>
      <c r="AE7" s="14">
        <f t="shared" si="16"/>
        <v>0.24591693887074195</v>
      </c>
      <c r="AF7" s="10">
        <f t="shared" si="17"/>
        <v>341</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1.0530567342171273</v>
      </c>
      <c r="AN7" s="48">
        <f t="shared" si="73"/>
        <v>1.0466256942805623</v>
      </c>
      <c r="AO7" s="48">
        <f t="shared" si="73"/>
        <v>0.8113243259829227</v>
      </c>
      <c r="AP7" s="48">
        <f t="shared" si="73"/>
        <v>0.61803659356879659</v>
      </c>
      <c r="AQ7" s="48">
        <f t="shared" si="73"/>
        <v>0.6843303282794394</v>
      </c>
      <c r="AR7" s="48">
        <f t="shared" si="73"/>
        <v>0.88227247440922107</v>
      </c>
      <c r="AS7" s="48">
        <f t="shared" si="73"/>
        <v>0.93555703647303412</v>
      </c>
      <c r="AT7" s="48">
        <f t="shared" si="73"/>
        <v>1.0029815683242573</v>
      </c>
      <c r="AU7" s="48">
        <f t="shared" si="73"/>
        <v>0.96526240429917065</v>
      </c>
      <c r="AV7" s="48">
        <f t="shared" si="73"/>
        <v>1.0088703096720428</v>
      </c>
      <c r="AW7" s="48">
        <f t="shared" si="73"/>
        <v>1.0048049357526689</v>
      </c>
      <c r="AX7" s="48">
        <f t="shared" si="73"/>
        <v>0.98559944044856707</v>
      </c>
      <c r="AY7" s="48">
        <f t="shared" si="73"/>
        <v>0.95167489502967273</v>
      </c>
      <c r="AZ7" s="48">
        <f t="shared" si="73"/>
        <v>0.88419984859264977</v>
      </c>
      <c r="BA7" s="48">
        <f t="shared" si="73"/>
        <v>0.88231350952648591</v>
      </c>
      <c r="BB7" s="48">
        <f t="shared" si="73"/>
        <v>0.74699774864489643</v>
      </c>
      <c r="BC7" s="48">
        <f t="shared" si="73"/>
        <v>0.62460088868542374</v>
      </c>
      <c r="BD7" s="48">
        <f t="shared" si="73"/>
        <v>0.45001311140709838</v>
      </c>
      <c r="BE7" s="48">
        <f t="shared" si="73"/>
        <v>0.39266413886912432</v>
      </c>
      <c r="BF7" s="48">
        <f t="shared" si="73"/>
        <v>1E-3</v>
      </c>
      <c r="BH7" s="7" t="str">
        <f t="shared" si="19"/>
        <v>2030_2</v>
      </c>
      <c r="BI7" s="29">
        <f>BI6</f>
        <v>2030</v>
      </c>
      <c r="BJ7" s="4" t="s">
        <v>22</v>
      </c>
      <c r="BK7" s="10">
        <f>CM7*$AK$14</f>
        <v>18.006074991181976</v>
      </c>
      <c r="BL7" s="10">
        <f>IF(管理者入力シート!$B$14=1,BK4*管理者用人口入力シート!AM$4,IF(管理者入力シート!$B$14=2,BK4*管理者用人口入力シート!AM$8))</f>
        <v>28.87472189725321</v>
      </c>
      <c r="BM7" s="10">
        <f>IF(管理者入力シート!$B$14=1,BL4*管理者用人口入力シート!AN$4,IF(管理者入力シート!$B$14=2,BL4*管理者用人口入力シート!AN$8))</f>
        <v>37.702106672661181</v>
      </c>
      <c r="BN7" s="10">
        <f>IF(管理者入力シート!$B$14=1,BM4*管理者用人口入力シート!AO$4,IF(管理者入力シート!$B$14=2,BM4*管理者用人口入力シート!AO$8))</f>
        <v>30.982049716407982</v>
      </c>
      <c r="BO7" s="10">
        <f>IF(管理者入力シート!$B$14=1,BN4*管理者用人口入力シート!AP$4,IF(管理者入力シート!$B$14=2,BN4*管理者用人口入力シート!AP$8))</f>
        <v>22.147698693440439</v>
      </c>
      <c r="BP7" s="10">
        <f>IF(管理者入力シート!$B$14=1,BO4*管理者用人口入力シート!AQ$4,IF(管理者入力シート!$B$14=2,BO4*管理者用人口入力シート!AQ$8))</f>
        <v>21.96213534498207</v>
      </c>
      <c r="BQ7" s="10">
        <f>IF(管理者入力シート!$B$14=1,BP4*管理者用人口入力シート!AR$4,IF(管理者入力シート!$B$14=2,BP4*管理者用人口入力シート!AR$8))</f>
        <v>22.33237160430755</v>
      </c>
      <c r="BR7" s="10">
        <f>IF(管理者入力シート!$B$14=1,BQ4*管理者用人口入力シート!AS$4,IF(管理者入力シート!$B$14=2,BQ4*管理者用人口入力シート!AS$8))</f>
        <v>24.546551388843341</v>
      </c>
      <c r="BS7" s="10">
        <f>IF(管理者入力シート!$B$14=1,BR4*管理者用人口入力シート!AT$4,IF(管理者入力シート!$B$14=2,BR4*管理者用人口入力シート!AT$8))</f>
        <v>53.316022889796749</v>
      </c>
      <c r="BT7" s="10">
        <f>IF(管理者入力シート!$B$14=1,BS4*管理者用人口入力シート!AU$4,IF(管理者入力シート!$B$14=2,BS4*管理者用人口入力シート!AU$8))</f>
        <v>64.92063111779845</v>
      </c>
      <c r="BU7" s="10">
        <f>IF(管理者入力シート!$B$14=1,BT4*管理者用人口入力シート!AV$4,IF(管理者入力シート!$B$14=2,BT4*管理者用人口入力シート!AV$8))</f>
        <v>72.992652166521466</v>
      </c>
      <c r="BV7" s="10">
        <f>IF(管理者入力シート!$B$14=1,BU4*管理者用人口入力シート!AW$4,IF(管理者入力シート!$B$14=2,BU4*管理者用人口入力シート!AW$8))</f>
        <v>84.909972914549144</v>
      </c>
      <c r="BW7" s="10">
        <f>IF(管理者入力シート!$B$14=1,BV4*管理者用人口入力シート!AX$4,IF(管理者入力シート!$B$14=2,BV4*管理者用人口入力シート!AX$8))</f>
        <v>72.684363803438018</v>
      </c>
      <c r="BX7" s="10">
        <f>IF(管理者入力シート!$B$14=1,BW4*管理者用人口入力シート!AY$4,IF(管理者入力シート!$B$14=2,BW4*管理者用人口入力シート!AY$8))</f>
        <v>98.097787855495781</v>
      </c>
      <c r="BY7" s="10">
        <f>IF(管理者入力シート!$B$14=1,BX4*管理者用人口入力シート!AZ$4,IF(管理者入力シート!$B$14=2,BX4*管理者用人口入力シート!AZ$8))</f>
        <v>149.85555448406322</v>
      </c>
      <c r="BZ7" s="10">
        <f>IF(管理者入力シート!$B$14=1,BY4*管理者用人口入力シート!BA$4,IF(管理者入力シート!$B$14=2,BY4*管理者用人口入力シート!BA$8))</f>
        <v>169.06621535086418</v>
      </c>
      <c r="CA7" s="10">
        <f>IF(管理者入力シート!$B$14=1,BZ4*管理者用人口入力シート!BB$4,IF(管理者入力シート!$B$14=2,BZ4*管理者用人口入力シート!BB$8))</f>
        <v>160.11981681727167</v>
      </c>
      <c r="CB7" s="10">
        <f>IF(管理者入力シート!$B$14=1,CA4*管理者用人口入力シート!BC$4,IF(管理者入力シート!$B$14=2,CA4*管理者用人口入力シート!BC$8))</f>
        <v>103.52232703618371</v>
      </c>
      <c r="CC7" s="10">
        <f>IF(管理者入力シート!$B$14=1,CB4*管理者用人口入力シート!BD$4,IF(管理者入力シート!$B$14=2,CB4*管理者用人口入力シート!BD$8))</f>
        <v>57.288952175228665</v>
      </c>
      <c r="CD7" s="10">
        <f>IF(管理者入力シート!$B$14=1,CC4*管理者用人口入力シート!BE$4,IF(管理者入力シート!$B$14=2,CC4*管理者用人口入力シート!BE$8))</f>
        <v>28.662691336021187</v>
      </c>
      <c r="CE7" s="10">
        <f>IF(管理者入力シート!$B$14=1,CD4*管理者用人口入力シート!BF$4,IF(管理者入力シート!$B$14=2,CD4*管理者用人口入力シート!BF$8))</f>
        <v>8.1772009603219047</v>
      </c>
      <c r="CF7" s="10">
        <f t="shared" si="2"/>
        <v>1330.1678992166317</v>
      </c>
      <c r="CG7" s="10">
        <f t="shared" si="20"/>
        <v>39.946097141948634</v>
      </c>
      <c r="CH7" s="10">
        <f t="shared" si="21"/>
        <v>21.277252612346068</v>
      </c>
      <c r="CI7" s="10">
        <f t="shared" si="3"/>
        <v>774.79054601545033</v>
      </c>
      <c r="CJ7" s="10">
        <f t="shared" si="22"/>
        <v>526.83720367589126</v>
      </c>
      <c r="CK7" s="14">
        <f t="shared" si="23"/>
        <v>0.58247575097229709</v>
      </c>
      <c r="CL7" s="14">
        <f t="shared" si="24"/>
        <v>0.39606819859820597</v>
      </c>
      <c r="CM7" s="10">
        <f t="shared" si="25"/>
        <v>90.9887570315734</v>
      </c>
      <c r="CO7" s="7" t="str">
        <f t="shared" si="26"/>
        <v>2030_2</v>
      </c>
      <c r="CP7" s="29">
        <f>CP6</f>
        <v>2030</v>
      </c>
      <c r="CQ7" s="4" t="s">
        <v>22</v>
      </c>
      <c r="CR7" s="10">
        <f>DT7*$AK$14+将来予測シート②!$H17</f>
        <v>19.738544617515764</v>
      </c>
      <c r="CS7" s="10">
        <f>IF(管理者入力シート!$B$14=1,CR4*管理者用人口入力シート!AM$4,IF(管理者入力シート!$B$14=2,CR4*管理者用人口入力シート!AM$8))+将来予測シート②!$H18</f>
        <v>29.95849907821</v>
      </c>
      <c r="CT7" s="10">
        <f>IF(管理者入力シート!$B$14=1,CS4*管理者用人口入力シート!AN$4,IF(管理者入力シート!$B$14=2,CS4*管理者用人口入力シート!AN$8))+将来予測シート②!$H19</f>
        <v>38.702106672661181</v>
      </c>
      <c r="CU7" s="10">
        <f>IF(管理者入力シート!$B$14=1,CT4*管理者用人口入力シート!AO$4,IF(管理者入力シート!$B$14=2,CT4*管理者用人口入力シート!AO$8))+将来予測シート②!$H20</f>
        <v>31.769588821096455</v>
      </c>
      <c r="CV7" s="10">
        <f>IF(管理者入力シート!$B$14=1,CU4*管理者用人口入力シート!AP$4,IF(管理者入力シート!$B$14=2,CU4*管理者用人口入力シート!AP$8))+将来予測シート②!$H21</f>
        <v>22.147698693440439</v>
      </c>
      <c r="CW7" s="10">
        <f>IF(管理者入力シート!$B$14=1,CV4*管理者用人口入力シート!AQ$4,IF(管理者入力シート!$B$14=2,CV4*管理者用人口入力シート!AQ$8))+将来予測シート②!$H22</f>
        <v>23.96213534498207</v>
      </c>
      <c r="CX7" s="10">
        <f>IF(管理者入力シート!$B$14=1,CW4*管理者用人口入力シート!AR$4,IF(管理者入力シート!$B$14=2,CW4*管理者用人口入力シート!AR$8))+将来予測シート②!$H23</f>
        <v>24.033705787139244</v>
      </c>
      <c r="CY7" s="10">
        <f>IF(管理者入力シート!$B$14=1,CX4*管理者用人口入力シート!AS$4,IF(管理者入力シート!$B$14=2,CX4*管理者用人口入力シート!AS$8))+将来予測シート②!$H24</f>
        <v>24.546551388843341</v>
      </c>
      <c r="CZ7" s="10">
        <f>IF(管理者入力シート!$B$14=1,CY4*管理者用人口入力シート!AT$4,IF(管理者入力シート!$B$14=2,CY4*管理者用人口入力シート!AT$8))+将来予測シート②!$H25</f>
        <v>54.316022889796749</v>
      </c>
      <c r="DA7" s="10">
        <f>IF(管理者入力シート!$B$14=1,CZ4*管理者用人口入力シート!AU$4,IF(管理者入力シート!$B$14=2,CZ4*管理者用人口入力シート!AU$8))+将来予測シート②!$H26</f>
        <v>65.881753094968275</v>
      </c>
      <c r="DB7" s="10">
        <f>IF(管理者入力シート!$B$14=1,DA4*管理者用人口入力シート!AV$4,IF(管理者入力シート!$B$14=2,DA4*管理者用人口入力シート!AV$8))+将来予測シート②!$H27</f>
        <v>72.992652166521466</v>
      </c>
      <c r="DC7" s="10">
        <f>IF(管理者入力シート!$B$14=1,DB4*管理者用人口入力シート!AW$4,IF(管理者入力シート!$B$14=2,DB4*管理者用人口入力シート!AW$8))+将来予測シート②!$H28</f>
        <v>84.909972914549144</v>
      </c>
      <c r="DD7" s="10">
        <f>IF(管理者入力シート!$B$14=1,DC4*管理者用人口入力シート!AX$4,IF(管理者入力シート!$B$14=2,DC4*管理者用人口入力シート!AX$8))+将来予測シート②!$H29</f>
        <v>72.684363803438018</v>
      </c>
      <c r="DE7" s="10">
        <f>IF(管理者入力シート!$B$14=1,DD4*管理者用人口入力シート!AY$4,IF(管理者入力シート!$B$14=2,DD4*管理者用人口入力シート!AY$8))</f>
        <v>98.097787855495781</v>
      </c>
      <c r="DF7" s="10">
        <f>IF(管理者入力シート!$B$14=1,DE4*管理者用人口入力シート!AZ$4,IF(管理者入力シート!$B$14=2,DE4*管理者用人口入力シート!AZ$8))</f>
        <v>149.85555448406322</v>
      </c>
      <c r="DG7" s="10">
        <f>IF(管理者入力シート!$B$14=1,DF4*管理者用人口入力シート!BA$4,IF(管理者入力シート!$B$14=2,DF4*管理者用人口入力シート!BA$8))</f>
        <v>169.06621535086418</v>
      </c>
      <c r="DH7" s="10">
        <f>IF(管理者入力シート!$B$14=1,DG4*管理者用人口入力シート!BB$4,IF(管理者入力シート!$B$14=2,DG4*管理者用人口入力シート!BB$8))</f>
        <v>160.11981681727167</v>
      </c>
      <c r="DI7" s="10">
        <f>IF(管理者入力シート!$B$14=1,DH4*管理者用人口入力シート!BC$4,IF(管理者入力シート!$B$14=2,DH4*管理者用人口入力シート!BC$8))</f>
        <v>103.52232703618371</v>
      </c>
      <c r="DJ7" s="10">
        <f>IF(管理者入力シート!$B$14=1,DI4*管理者用人口入力シート!BD$4,IF(管理者入力シート!$B$14=2,DI4*管理者用人口入力シート!BD$8))</f>
        <v>57.288952175228665</v>
      </c>
      <c r="DK7" s="10">
        <f>IF(管理者入力シート!$B$14=1,DJ4*管理者用人口入力シート!BE$4,IF(管理者入力シート!$B$14=2,DJ4*管理者用人口入力シート!BE$8))</f>
        <v>28.662691336021187</v>
      </c>
      <c r="DL7" s="10">
        <f>IF(管理者入力シート!$B$14=1,DK4*管理者用人口入力シート!BF$4,IF(管理者入力シート!$B$14=2,DK4*管理者用人口入力シート!BF$8))</f>
        <v>8.1772009603219047</v>
      </c>
      <c r="DM7" s="10">
        <f t="shared" si="69"/>
        <v>1340.4341412886124</v>
      </c>
      <c r="DN7" s="10">
        <f t="shared" si="34"/>
        <v>41.196363450522711</v>
      </c>
      <c r="DO7" s="10">
        <f t="shared" si="35"/>
        <v>21.834760433283762</v>
      </c>
      <c r="DP7" s="10">
        <f t="shared" si="6"/>
        <v>774.79054601545033</v>
      </c>
      <c r="DQ7" s="10">
        <f t="shared" si="36"/>
        <v>526.83720367589126</v>
      </c>
      <c r="DR7" s="14">
        <f t="shared" si="37"/>
        <v>0.57801463134221087</v>
      </c>
      <c r="DS7" s="14">
        <f t="shared" si="38"/>
        <v>0.3930347545232038</v>
      </c>
      <c r="DT7" s="10">
        <f t="shared" si="70"/>
        <v>94.690091214405086</v>
      </c>
      <c r="DV7" s="7" t="s">
        <v>401</v>
      </c>
      <c r="DW7" s="209">
        <f>(SUM(BK12:BW12)-SUM(D12:P12))/4</f>
        <v>-128.12213678223836</v>
      </c>
      <c r="DX7" s="29">
        <f>DX6</f>
        <v>2030</v>
      </c>
      <c r="DY7" s="4" t="s">
        <v>22</v>
      </c>
      <c r="DZ7" s="10">
        <f>FB7*$AK$14</f>
        <v>57.439496924462709</v>
      </c>
      <c r="EA7" s="10">
        <f>IF(管理者入力シート!$B$14=1,DZ4*管理者用人口入力シート!AM$4,IF(管理者入力シート!$B$14=2,DZ4*管理者用人口入力シート!AM$8))</f>
        <v>28.87472189725321</v>
      </c>
      <c r="EB7" s="10">
        <f>IF(管理者入力シート!$B$14=1,EA4*管理者用人口入力シート!AN$4,IF(管理者入力シート!$B$14=2,EA4*管理者用人口入力シート!AN$8))</f>
        <v>37.702106672661181</v>
      </c>
      <c r="EC7" s="10">
        <f>IF(管理者入力シート!$B$14=1,EB4*管理者用人口入力シート!AO$4,IF(管理者入力シート!$B$14=2,EB4*管理者用人口入力シート!AO$8))</f>
        <v>30.982049716407982</v>
      </c>
      <c r="ED7" s="10">
        <f>IF(管理者入力シート!$B$14=1,EC4*管理者用人口入力シート!AP$4,IF(管理者入力シート!$B$14=2,EC4*管理者用人口入力シート!AP$8))</f>
        <v>22.147698693440439</v>
      </c>
      <c r="EE7" s="10">
        <f>IF(管理者入力シート!$B$14=1,ED4*管理者用人口入力シート!AQ$4,IF(管理者入力シート!$B$14=2,ED4*管理者用人口入力シート!AQ$8))+DX1</f>
        <v>63.962135344982073</v>
      </c>
      <c r="EF7" s="10">
        <f>IF(管理者入力シート!$B$14=1,EE4*管理者用人口入力シート!AR$4,IF(管理者入力シート!$B$14=2,EE4*管理者用人口入力シート!AR$8))+DX1</f>
        <v>100.06038944377312</v>
      </c>
      <c r="EG7" s="10">
        <f>IF(管理者入力シート!$B$14=1,EF4*管理者用人口入力シート!AS$4,IF(管理者入力シート!$B$14=2,EF4*管理者用人口入力シート!AS$8))+DX1</f>
        <v>104.08450622626212</v>
      </c>
      <c r="EH7" s="10">
        <f>IF(管理者入力シート!$B$14=1,EG4*管理者用人口入力シート!AT$4,IF(管理者入力シート!$B$14=2,EG4*管理者用人口入力シート!AT$8))</f>
        <v>94.822284902758071</v>
      </c>
      <c r="EI7" s="10">
        <f>IF(管理者入力シート!$B$14=1,EH4*管理者用人口入力シート!AU$4,IF(管理者入力シート!$B$14=2,EH4*管理者用人口入力シート!AU$8))</f>
        <v>64.92063111779845</v>
      </c>
      <c r="EJ7" s="10">
        <f>IF(管理者入力シート!$B$14=1,EI4*管理者用人口入力シート!AV$4,IF(管理者入力シート!$B$14=2,EI4*管理者用人口入力シート!AV$8))</f>
        <v>72.992652166521466</v>
      </c>
      <c r="EK7" s="10">
        <f>IF(管理者入力シート!$B$14=1,EJ4*管理者用人口入力シート!AW$4,IF(管理者入力シート!$B$14=2,EJ4*管理者用人口入力シート!AW$8))</f>
        <v>84.909972914549144</v>
      </c>
      <c r="EL7" s="10">
        <f>IF(管理者入力シート!$B$14=1,EK4*管理者用人口入力シート!AX$4,IF(管理者入力シート!$B$14=2,EK4*管理者用人口入力シート!AX$8))</f>
        <v>72.684363803438018</v>
      </c>
      <c r="EM7" s="10">
        <f>IF(管理者入力シート!$B$14=1,EL4*管理者用人口入力シート!AY$4,IF(管理者入力シート!$B$14=2,EL4*管理者用人口入力シート!AY$8))</f>
        <v>98.097787855495781</v>
      </c>
      <c r="EN7" s="10">
        <f>IF(管理者入力シート!$B$14=1,EM4*管理者用人口入力シート!AZ$4,IF(管理者入力シート!$B$14=2,EM4*管理者用人口入力シート!AZ$8))</f>
        <v>149.85555448406322</v>
      </c>
      <c r="EO7" s="10">
        <f>IF(管理者入力シート!$B$14=1,EN4*管理者用人口入力シート!BA$4,IF(管理者入力シート!$B$14=2,EN4*管理者用人口入力シート!BA$8))</f>
        <v>169.06621535086418</v>
      </c>
      <c r="EP7" s="10">
        <f>IF(管理者入力シート!$B$14=1,EO4*管理者用人口入力シート!BB$4,IF(管理者入力シート!$B$14=2,EO4*管理者用人口入力シート!BB$8))</f>
        <v>160.11981681727167</v>
      </c>
      <c r="EQ7" s="10">
        <f>IF(管理者入力シート!$B$14=1,EP4*管理者用人口入力シート!BC$4,IF(管理者入力シート!$B$14=2,EP4*管理者用人口入力シート!BC$8))</f>
        <v>103.52232703618371</v>
      </c>
      <c r="ER7" s="10">
        <f>IF(管理者入力シート!$B$14=1,EQ4*管理者用人口入力シート!BD$4,IF(管理者入力シート!$B$14=2,EQ4*管理者用人口入力シート!BD$8))</f>
        <v>57.288952175228665</v>
      </c>
      <c r="ES7" s="10">
        <f>IF(管理者入力シート!$B$14=1,ER4*管理者用人口入力シート!BE$4,IF(管理者入力シート!$B$14=2,ER4*管理者用人口入力シート!BE$8))</f>
        <v>28.662691336021187</v>
      </c>
      <c r="ET7" s="10">
        <f>IF(管理者入力シート!$B$14=1,ES4*管理者用人口入力シート!BF$4,IF(管理者入力シート!$B$14=2,ES4*管理者用人口入力シート!BF$8))</f>
        <v>8.1772009603219047</v>
      </c>
      <c r="EU7" s="10">
        <f t="shared" si="71"/>
        <v>1610.3735558397582</v>
      </c>
      <c r="EV7" s="10">
        <f t="shared" si="41"/>
        <v>39.946097141948634</v>
      </c>
      <c r="EW7" s="10">
        <f t="shared" si="42"/>
        <v>21.277252612346068</v>
      </c>
      <c r="EX7" s="10">
        <f t="shared" si="10"/>
        <v>774.79054601545033</v>
      </c>
      <c r="EY7" s="10">
        <f t="shared" si="43"/>
        <v>526.83720367589126</v>
      </c>
      <c r="EZ7" s="14">
        <f t="shared" si="44"/>
        <v>0.48112473233666703</v>
      </c>
      <c r="FA7" s="14">
        <f t="shared" si="45"/>
        <v>0.32715217023118748</v>
      </c>
      <c r="FB7" s="10">
        <f t="shared" si="72"/>
        <v>290.25472970845777</v>
      </c>
    </row>
    <row r="8" spans="1:158" x14ac:dyDescent="0.15">
      <c r="A8" s="7" t="str">
        <f t="shared" si="11"/>
        <v>2010_3</v>
      </c>
      <c r="B8" s="30">
        <v>2010</v>
      </c>
      <c r="C8" s="5" t="s">
        <v>23</v>
      </c>
      <c r="D8" s="11">
        <v>106</v>
      </c>
      <c r="E8" s="11">
        <v>146</v>
      </c>
      <c r="F8" s="11">
        <v>146</v>
      </c>
      <c r="G8" s="11">
        <v>131</v>
      </c>
      <c r="H8" s="11">
        <v>149</v>
      </c>
      <c r="I8" s="11">
        <v>172</v>
      </c>
      <c r="J8" s="11">
        <v>168</v>
      </c>
      <c r="K8" s="11">
        <v>186</v>
      </c>
      <c r="L8" s="11">
        <v>160</v>
      </c>
      <c r="M8" s="11">
        <v>191</v>
      </c>
      <c r="N8" s="11">
        <v>302</v>
      </c>
      <c r="O8" s="11">
        <v>392</v>
      </c>
      <c r="P8" s="11">
        <v>379</v>
      </c>
      <c r="Q8" s="11">
        <v>292</v>
      </c>
      <c r="R8" s="11">
        <v>267</v>
      </c>
      <c r="S8" s="11">
        <v>319</v>
      </c>
      <c r="T8" s="11">
        <v>295</v>
      </c>
      <c r="U8" s="11">
        <v>163</v>
      </c>
      <c r="V8" s="11">
        <v>64</v>
      </c>
      <c r="W8" s="11">
        <v>24</v>
      </c>
      <c r="X8" s="11">
        <v>4</v>
      </c>
      <c r="Y8" s="11">
        <f t="shared" si="68"/>
        <v>4056</v>
      </c>
      <c r="Z8" s="11">
        <f t="shared" si="12"/>
        <v>175.2</v>
      </c>
      <c r="AA8" s="11">
        <f t="shared" si="13"/>
        <v>84.6</v>
      </c>
      <c r="AB8" s="11">
        <f t="shared" si="0"/>
        <v>1428</v>
      </c>
      <c r="AC8" s="11">
        <f t="shared" si="14"/>
        <v>869</v>
      </c>
      <c r="AD8" s="15">
        <f t="shared" si="15"/>
        <v>0.35207100591715978</v>
      </c>
      <c r="AE8" s="15">
        <f t="shared" si="16"/>
        <v>0.21425049309664695</v>
      </c>
      <c r="AF8" s="11">
        <f t="shared" si="17"/>
        <v>675</v>
      </c>
      <c r="AH8" s="7"/>
      <c r="AI8" s="30" t="s">
        <v>88</v>
      </c>
      <c r="AJ8" s="5">
        <f>AJ7</f>
        <v>2010</v>
      </c>
      <c r="AK8" s="5">
        <f>AK7</f>
        <v>2020</v>
      </c>
      <c r="AL8" s="33" t="s">
        <v>22</v>
      </c>
      <c r="AM8" s="47">
        <f t="shared" si="73"/>
        <v>1.0837771809567895</v>
      </c>
      <c r="AN8" s="47">
        <f t="shared" si="73"/>
        <v>0.90974056556308691</v>
      </c>
      <c r="AO8" s="47">
        <f t="shared" si="73"/>
        <v>0.78753910468847221</v>
      </c>
      <c r="AP8" s="47">
        <f t="shared" si="73"/>
        <v>0.6081164857528164</v>
      </c>
      <c r="AQ8" s="47">
        <f t="shared" si="73"/>
        <v>0.81449602211077543</v>
      </c>
      <c r="AR8" s="47">
        <f t="shared" si="73"/>
        <v>0.85066709141584695</v>
      </c>
      <c r="AS8" s="47">
        <f t="shared" si="73"/>
        <v>0.89376082946235202</v>
      </c>
      <c r="AT8" s="47">
        <f t="shared" si="73"/>
        <v>0.98824433364193609</v>
      </c>
      <c r="AU8" s="47">
        <f t="shared" si="73"/>
        <v>0.9611219771698164</v>
      </c>
      <c r="AV8" s="47">
        <f t="shared" si="73"/>
        <v>1.0202291436647708</v>
      </c>
      <c r="AW8" s="47">
        <f t="shared" si="73"/>
        <v>1.0196875258159159</v>
      </c>
      <c r="AX8" s="47">
        <f t="shared" si="73"/>
        <v>0.99799352273316766</v>
      </c>
      <c r="AY8" s="47">
        <f t="shared" si="73"/>
        <v>0.95695963244013038</v>
      </c>
      <c r="AZ8" s="47">
        <f t="shared" si="73"/>
        <v>0.97809212679662616</v>
      </c>
      <c r="BA8" s="47">
        <f t="shared" si="73"/>
        <v>0.93343413644446571</v>
      </c>
      <c r="BB8" s="47">
        <f t="shared" si="73"/>
        <v>0.90615344324174563</v>
      </c>
      <c r="BC8" s="47">
        <f t="shared" si="73"/>
        <v>0.79946972666425264</v>
      </c>
      <c r="BD8" s="47">
        <f t="shared" si="73"/>
        <v>0.56082541658820262</v>
      </c>
      <c r="BE8" s="47">
        <f t="shared" si="73"/>
        <v>0.40654198761474419</v>
      </c>
      <c r="BF8" s="47">
        <f t="shared" si="73"/>
        <v>0.2599102261485049</v>
      </c>
      <c r="BH8" s="7" t="str">
        <f t="shared" si="19"/>
        <v>2030_3</v>
      </c>
      <c r="BI8" s="30">
        <f>BI7</f>
        <v>2030</v>
      </c>
      <c r="BJ8" s="5" t="s">
        <v>23</v>
      </c>
      <c r="BK8" s="16">
        <f>BK6+BK7</f>
        <v>32.214845894485066</v>
      </c>
      <c r="BL8" s="16">
        <f t="shared" ref="BL8" si="74">BL6+BL7</f>
        <v>51.014182441542474</v>
      </c>
      <c r="BM8" s="16">
        <f t="shared" ref="BM8" si="75">BM6+BM7</f>
        <v>70.959535795021537</v>
      </c>
      <c r="BN8" s="16">
        <f t="shared" ref="BN8" si="76">BN6+BN7</f>
        <v>72.818650293322648</v>
      </c>
      <c r="BO8" s="16">
        <f t="shared" ref="BO8" si="77">BO6+BO7</f>
        <v>53.926051821637493</v>
      </c>
      <c r="BP8" s="16">
        <f t="shared" ref="BP8" si="78">BP6+BP7</f>
        <v>50.497704207770738</v>
      </c>
      <c r="BQ8" s="16">
        <f t="shared" ref="BQ8" si="79">BQ6+BQ7</f>
        <v>39.941059682884259</v>
      </c>
      <c r="BR8" s="16">
        <f t="shared" ref="BR8" si="80">BR6+BR7</f>
        <v>49.520777503740639</v>
      </c>
      <c r="BS8" s="16">
        <f t="shared" ref="BS8" si="81">BS6+BS7</f>
        <v>103.31230720037078</v>
      </c>
      <c r="BT8" s="16">
        <f t="shared" ref="BT8" si="82">BT6+BT7</f>
        <v>127.2633259005255</v>
      </c>
      <c r="BU8" s="16">
        <f t="shared" ref="BU8" si="83">BU6+BU7</f>
        <v>154.30507401989001</v>
      </c>
      <c r="BV8" s="16">
        <f t="shared" ref="BV8" si="84">BV6+BV7</f>
        <v>179.78788199899822</v>
      </c>
      <c r="BW8" s="16">
        <f t="shared" ref="BW8" si="85">BW6+BW7</f>
        <v>146.49049500111352</v>
      </c>
      <c r="BX8" s="16">
        <f t="shared" ref="BX8" si="86">BX6+BX7</f>
        <v>192.63954854260419</v>
      </c>
      <c r="BY8" s="16">
        <f t="shared" ref="BY8" si="87">BY6+BY7</f>
        <v>267.67376264584402</v>
      </c>
      <c r="BZ8" s="16">
        <f t="shared" ref="BZ8" si="88">BZ6+BZ7</f>
        <v>314.37196353161971</v>
      </c>
      <c r="CA8" s="16">
        <f t="shared" ref="CA8" si="89">CA6+CA7</f>
        <v>264.36068278916878</v>
      </c>
      <c r="CB8" s="16">
        <f t="shared" ref="CB8" si="90">CB6+CB7</f>
        <v>152.79860638897861</v>
      </c>
      <c r="CC8" s="16">
        <f t="shared" ref="CC8" si="91">CC6+CC7</f>
        <v>81.068268356010648</v>
      </c>
      <c r="CD8" s="16">
        <f t="shared" ref="CD8" si="92">CD6+CD7</f>
        <v>38.793059806222274</v>
      </c>
      <c r="CE8" s="16">
        <f t="shared" ref="CE8" si="93">CE6+CE7</f>
        <v>8.1906229824352899</v>
      </c>
      <c r="CF8" s="11">
        <f t="shared" si="2"/>
        <v>2451.9484068041866</v>
      </c>
      <c r="CG8" s="11">
        <f t="shared" si="20"/>
        <v>73.184230941938409</v>
      </c>
      <c r="CH8" s="11">
        <f t="shared" si="21"/>
        <v>42.947544376673143</v>
      </c>
      <c r="CI8" s="11">
        <f t="shared" si="3"/>
        <v>1319.8965150428837</v>
      </c>
      <c r="CJ8" s="11">
        <f t="shared" si="22"/>
        <v>859.5832038544354</v>
      </c>
      <c r="CK8" s="15">
        <f t="shared" si="23"/>
        <v>0.53830517452168036</v>
      </c>
      <c r="CL8" s="15">
        <f t="shared" si="24"/>
        <v>0.35057148897141621</v>
      </c>
      <c r="CM8" s="11">
        <f t="shared" si="25"/>
        <v>193.88559321603313</v>
      </c>
      <c r="CO8" s="7" t="str">
        <f t="shared" si="26"/>
        <v>2030_3</v>
      </c>
      <c r="CP8" s="30">
        <f>CP7</f>
        <v>2030</v>
      </c>
      <c r="CQ8" s="5" t="s">
        <v>23</v>
      </c>
      <c r="CR8" s="16">
        <f>CR6+CR7</f>
        <v>35.525314508343989</v>
      </c>
      <c r="CS8" s="16">
        <f t="shared" ref="CS8" si="94">CS6+CS7</f>
        <v>53.151016356716383</v>
      </c>
      <c r="CT8" s="16">
        <f t="shared" ref="CT8" si="95">CT6+CT7</f>
        <v>72.959535795021537</v>
      </c>
      <c r="CU8" s="16">
        <f t="shared" ref="CU8" si="96">CU6+CU7</f>
        <v>74.417513723994034</v>
      </c>
      <c r="CV8" s="16">
        <f t="shared" ref="CV8" si="97">CV6+CV7</f>
        <v>53.926051821637493</v>
      </c>
      <c r="CW8" s="16">
        <f t="shared" ref="CW8" si="98">CW6+CW7</f>
        <v>54.497704207770738</v>
      </c>
      <c r="CX8" s="16">
        <f t="shared" ref="CX8" si="99">CX6+CX7</f>
        <v>43.406938814534385</v>
      </c>
      <c r="CY8" s="16">
        <f t="shared" ref="CY8" si="100">CY6+CY7</f>
        <v>49.520777503740639</v>
      </c>
      <c r="CZ8" s="16">
        <f t="shared" ref="CZ8" si="101">CZ6+CZ7</f>
        <v>104.31230720037078</v>
      </c>
      <c r="DA8" s="16">
        <f t="shared" ref="DA8" si="102">DA6+DA7</f>
        <v>128.22444787769533</v>
      </c>
      <c r="DB8" s="16">
        <f t="shared" ref="DB8" si="103">DB6+DB7</f>
        <v>154.30507401989001</v>
      </c>
      <c r="DC8" s="16">
        <f t="shared" ref="DC8" si="104">DC6+DC7</f>
        <v>179.78788199899822</v>
      </c>
      <c r="DD8" s="16">
        <f t="shared" ref="DD8" si="105">DD6+DD7</f>
        <v>146.49049500111352</v>
      </c>
      <c r="DE8" s="16">
        <f t="shared" ref="DE8" si="106">DE6+DE7</f>
        <v>192.63954854260419</v>
      </c>
      <c r="DF8" s="16">
        <f t="shared" ref="DF8" si="107">DF6+DF7</f>
        <v>267.67376264584402</v>
      </c>
      <c r="DG8" s="16">
        <f t="shared" ref="DG8" si="108">DG6+DG7</f>
        <v>314.37196353161971</v>
      </c>
      <c r="DH8" s="16">
        <f t="shared" ref="DH8" si="109">DH6+DH7</f>
        <v>264.36068278916878</v>
      </c>
      <c r="DI8" s="16">
        <f t="shared" ref="DI8" si="110">DI6+DI7</f>
        <v>152.79860638897861</v>
      </c>
      <c r="DJ8" s="16">
        <f t="shared" ref="DJ8" si="111">DJ6+DJ7</f>
        <v>81.068268356010648</v>
      </c>
      <c r="DK8" s="16">
        <f t="shared" ref="DK8" si="112">DK6+DK7</f>
        <v>38.793059806222274</v>
      </c>
      <c r="DL8" s="16">
        <f t="shared" ref="DL8" si="113">DL6+DL7</f>
        <v>8.1906229824352899</v>
      </c>
      <c r="DM8" s="11">
        <f t="shared" si="69"/>
        <v>2470.4215738727107</v>
      </c>
      <c r="DN8" s="11">
        <f t="shared" si="34"/>
        <v>75.666331291042752</v>
      </c>
      <c r="DO8" s="11">
        <f t="shared" si="35"/>
        <v>44.067317062807419</v>
      </c>
      <c r="DP8" s="11">
        <f t="shared" si="6"/>
        <v>1319.8965150428837</v>
      </c>
      <c r="DQ8" s="11">
        <f t="shared" si="36"/>
        <v>859.5832038544354</v>
      </c>
      <c r="DR8" s="15">
        <f t="shared" si="37"/>
        <v>0.53427986907261837</v>
      </c>
      <c r="DS8" s="15">
        <f t="shared" si="38"/>
        <v>0.34795000697266648</v>
      </c>
      <c r="DT8" s="11">
        <f t="shared" si="70"/>
        <v>201.35147234768326</v>
      </c>
      <c r="DV8" s="7" t="s">
        <v>402</v>
      </c>
      <c r="DW8" s="209">
        <f>(SUM(BK13:BW13)-SUM(D13:P13))/4</f>
        <v>-121.35736565490862</v>
      </c>
      <c r="DX8" s="30">
        <f>DX7</f>
        <v>2030</v>
      </c>
      <c r="DY8" s="5" t="s">
        <v>23</v>
      </c>
      <c r="DZ8" s="16">
        <f>DZ6+DZ7</f>
        <v>102.76556898627294</v>
      </c>
      <c r="EA8" s="16">
        <f t="shared" ref="EA8:ET8" si="114">EA6+EA7</f>
        <v>51.014182441542474</v>
      </c>
      <c r="EB8" s="16">
        <f t="shared" si="114"/>
        <v>70.959535795021537</v>
      </c>
      <c r="EC8" s="16">
        <f t="shared" si="114"/>
        <v>72.818650293322648</v>
      </c>
      <c r="ED8" s="16">
        <f t="shared" si="114"/>
        <v>53.926051821637493</v>
      </c>
      <c r="EE8" s="16">
        <f t="shared" si="114"/>
        <v>134.49770420777074</v>
      </c>
      <c r="EF8" s="16">
        <f t="shared" si="114"/>
        <v>196.72452144753711</v>
      </c>
      <c r="EG8" s="16">
        <f t="shared" si="114"/>
        <v>210.35212787302686</v>
      </c>
      <c r="EH8" s="16">
        <f t="shared" si="114"/>
        <v>186.94379508295091</v>
      </c>
      <c r="EI8" s="16">
        <f t="shared" si="114"/>
        <v>127.2633259005255</v>
      </c>
      <c r="EJ8" s="16">
        <f t="shared" si="114"/>
        <v>154.30507401989001</v>
      </c>
      <c r="EK8" s="16">
        <f t="shared" si="114"/>
        <v>179.78788199899822</v>
      </c>
      <c r="EL8" s="16">
        <f t="shared" si="114"/>
        <v>146.49049500111352</v>
      </c>
      <c r="EM8" s="16">
        <f t="shared" si="114"/>
        <v>192.63954854260419</v>
      </c>
      <c r="EN8" s="16">
        <f t="shared" si="114"/>
        <v>267.67376264584402</v>
      </c>
      <c r="EO8" s="16">
        <f t="shared" si="114"/>
        <v>314.37196353161971</v>
      </c>
      <c r="EP8" s="16">
        <f t="shared" si="114"/>
        <v>264.36068278916878</v>
      </c>
      <c r="EQ8" s="16">
        <f t="shared" si="114"/>
        <v>152.79860638897861</v>
      </c>
      <c r="ER8" s="16">
        <f t="shared" si="114"/>
        <v>81.068268356010648</v>
      </c>
      <c r="ES8" s="16">
        <f t="shared" si="114"/>
        <v>38.793059806222274</v>
      </c>
      <c r="ET8" s="16">
        <f t="shared" si="114"/>
        <v>8.1906229824352899</v>
      </c>
      <c r="EU8" s="11">
        <f t="shared" si="71"/>
        <v>3007.7454299124938</v>
      </c>
      <c r="EV8" s="11">
        <f t="shared" si="41"/>
        <v>73.184230941938409</v>
      </c>
      <c r="EW8" s="11">
        <f t="shared" si="42"/>
        <v>42.947544376673143</v>
      </c>
      <c r="EX8" s="11">
        <f t="shared" si="10"/>
        <v>1319.8965150428837</v>
      </c>
      <c r="EY8" s="11">
        <f t="shared" si="43"/>
        <v>859.5832038544354</v>
      </c>
      <c r="EZ8" s="15">
        <f t="shared" si="44"/>
        <v>0.43883252283132362</v>
      </c>
      <c r="FA8" s="15">
        <f t="shared" si="45"/>
        <v>0.28578987945779832</v>
      </c>
      <c r="FB8" s="11">
        <f t="shared" si="72"/>
        <v>595.5004053499722</v>
      </c>
    </row>
    <row r="9" spans="1:158" x14ac:dyDescent="0.15">
      <c r="A9" s="7" t="str">
        <f t="shared" si="11"/>
        <v>2015_1</v>
      </c>
      <c r="B9" s="28">
        <v>2015</v>
      </c>
      <c r="C9" s="3" t="s">
        <v>21</v>
      </c>
      <c r="D9" s="9">
        <v>43.01951951951952</v>
      </c>
      <c r="E9" s="9">
        <v>60.033033033033036</v>
      </c>
      <c r="F9" s="9">
        <v>84.049549549549539</v>
      </c>
      <c r="G9" s="9">
        <v>59.04054054054054</v>
      </c>
      <c r="H9" s="9">
        <v>51.034534534534529</v>
      </c>
      <c r="I9" s="9">
        <v>60.033033033033036</v>
      </c>
      <c r="J9" s="9">
        <v>71.040540540540547</v>
      </c>
      <c r="K9" s="9">
        <v>83.042042042042041</v>
      </c>
      <c r="L9" s="9">
        <v>91.043543543543535</v>
      </c>
      <c r="M9" s="9">
        <v>77.039039039039039</v>
      </c>
      <c r="N9" s="9">
        <v>102.05705705705705</v>
      </c>
      <c r="O9" s="9">
        <v>142.0975975975976</v>
      </c>
      <c r="P9" s="9">
        <v>200.12912912912913</v>
      </c>
      <c r="Q9" s="9">
        <v>177.11261261261262</v>
      </c>
      <c r="R9" s="9">
        <v>119.06756756756756</v>
      </c>
      <c r="S9" s="9">
        <v>100.05255255255256</v>
      </c>
      <c r="T9" s="9">
        <v>93.049549549549539</v>
      </c>
      <c r="U9" s="9">
        <v>81.049549549549539</v>
      </c>
      <c r="V9" s="9">
        <v>24.009009009009009</v>
      </c>
      <c r="W9" s="9">
        <v>7</v>
      </c>
      <c r="X9" s="9">
        <v>0</v>
      </c>
      <c r="Y9" s="9">
        <f t="shared" si="68"/>
        <v>1724.9999999999998</v>
      </c>
      <c r="Z9" s="9">
        <f t="shared" si="12"/>
        <v>86.449549549549545</v>
      </c>
      <c r="AA9" s="9">
        <f t="shared" si="13"/>
        <v>45.427927927927925</v>
      </c>
      <c r="AB9" s="9">
        <f t="shared" si="0"/>
        <v>601.34084084084077</v>
      </c>
      <c r="AC9" s="9">
        <f t="shared" si="14"/>
        <v>305.1606606606606</v>
      </c>
      <c r="AD9" s="13">
        <f t="shared" si="15"/>
        <v>0.34860338599469037</v>
      </c>
      <c r="AE9" s="13">
        <f t="shared" si="16"/>
        <v>0.17690473081777427</v>
      </c>
      <c r="AF9" s="9">
        <f t="shared" si="17"/>
        <v>265.15015015015018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11.793514730631539</v>
      </c>
      <c r="BL9" s="9">
        <f>IF(管理者入力シート!$B$14=1,BK6*管理者用人口入力シート!AM$3,IF(管理者入力シート!$B$14=2,BK6*管理者用人口入力シート!AM$7))</f>
        <v>14.962641884671694</v>
      </c>
      <c r="BM9" s="9">
        <f>IF(管理者入力シート!$B$14=1,BL6*管理者用人口入力シート!AN$3,IF(管理者入力シート!$B$14=2,BL6*管理者用人口入力シート!AN$7))</f>
        <v>23.171728263163864</v>
      </c>
      <c r="BN9" s="9">
        <f>IF(管理者入力シート!$B$14=1,BM6*管理者用人口入力シート!AO$3,IF(管理者入力シート!$B$14=2,BM6*管理者用人口入力シート!AO$7))</f>
        <v>26.982561266623836</v>
      </c>
      <c r="BO9" s="9">
        <f>IF(管理者入力シート!$B$14=1,BN6*管理者用人口入力シート!AP$3,IF(管理者入力シート!$B$14=2,BN6*管理者用人口入力シート!AP$7))</f>
        <v>25.856550107054687</v>
      </c>
      <c r="BP9" s="9">
        <f>IF(管理者入力シート!$B$14=1,BO6*管理者用人口入力シート!AQ$3,IF(管理者入力シート!$B$14=2,BO6*管理者用人口入力シート!AQ$7))</f>
        <v>21.746890828399039</v>
      </c>
      <c r="BQ9" s="9">
        <f>IF(管理者入力シート!$B$14=1,BP6*管理者用人口入力シート!AR$3,IF(管理者入力シート!$B$14=2,BP6*管理者用人口入力シート!AR$7))</f>
        <v>25.176146949247283</v>
      </c>
      <c r="BR9" s="9">
        <f>IF(管理者入力シート!$B$14=1,BQ6*管理者用人口入力シート!AS$3,IF(管理者入力シート!$B$14=2,BQ6*管理者用人口入力シート!AS$7))</f>
        <v>16.473932034971266</v>
      </c>
      <c r="BS9" s="9">
        <f>IF(管理者入力シート!$B$14=1,BR6*管理者用人口入力シート!AT$3,IF(管理者入力シート!$B$14=2,BR6*管理者用人口入力シート!AT$7))</f>
        <v>25.048688476404315</v>
      </c>
      <c r="BT9" s="9">
        <f>IF(管理者入力シート!$B$14=1,BS6*管理者用人口入力シート!AU$3,IF(管理者入力シート!$B$14=2,BS6*管理者用人口入力シート!AU$7))</f>
        <v>48.259533599649593</v>
      </c>
      <c r="BU9" s="9">
        <f>IF(管理者入力シート!$B$14=1,BT6*管理者用人口入力シート!AV$3,IF(管理者入力シート!$B$14=2,BT6*管理者用人口入力シート!AV$7))</f>
        <v>62.895693791239495</v>
      </c>
      <c r="BV9" s="9">
        <f>IF(管理者入力シート!$B$14=1,BU6*管理者用人口入力シート!AW$3,IF(管理者入力シート!$B$14=2,BU6*管理者用人口入力シート!AW$7))</f>
        <v>81.703122816267879</v>
      </c>
      <c r="BW9" s="9">
        <f>IF(管理者入力シート!$B$14=1,BV6*管理者用人口入力シート!AX$3,IF(管理者入力シート!$B$14=2,BV6*管理者用人口入力シート!AX$7))</f>
        <v>93.511614104563009</v>
      </c>
      <c r="BX9" s="9">
        <f>IF(管理者入力シート!$B$14=1,BW6*管理者用人口入力シート!AY$3,IF(管理者入力シート!$B$14=2,BW6*管理者用人口入力シート!AY$7))</f>
        <v>70.2394421600941</v>
      </c>
      <c r="BY9" s="9">
        <f>IF(管理者入力シート!$B$14=1,BX6*管理者用人口入力シート!AZ$3,IF(管理者入力シート!$B$14=2,BX6*管理者用人口入力シート!AZ$7))</f>
        <v>83.593810485223798</v>
      </c>
      <c r="BZ9" s="9">
        <f>IF(管理者入力シート!$B$14=1,BY6*管理者用人口入力シート!BA$3,IF(管理者入力シート!$B$14=2,BY6*管理者用人口入力シート!BA$7))</f>
        <v>103.9525967293429</v>
      </c>
      <c r="CA9" s="9">
        <f>IF(管理者入力シート!$B$14=1,BZ6*管理者用人口入力シート!BB$3,IF(管理者入力シート!$B$14=2,BZ6*管理者用人口入力シート!BB$7))</f>
        <v>108.54306675618662</v>
      </c>
      <c r="CB9" s="9">
        <f>IF(管理者入力シート!$B$14=1,CA6*管理者用人口入力シート!BC$3,IF(管理者入力シート!$B$14=2,CA6*管理者用人口入力シート!BC$7))</f>
        <v>65.10893752338508</v>
      </c>
      <c r="CC9" s="9">
        <f>IF(管理者入力シート!$B$14=1,CB6*管理者用人口入力シート!BD$3,IF(管理者入力シート!$B$14=2,CB6*管理者用人口入力シート!BD$7))</f>
        <v>22.174971790116587</v>
      </c>
      <c r="CD9" s="9">
        <f>IF(管理者入力シート!$B$14=1,CC6*管理者用人口入力シート!BE$3,IF(管理者入力シート!$B$14=2,CC6*管理者用人口入力シート!BE$7))</f>
        <v>9.3372847110233916</v>
      </c>
      <c r="CE9" s="9">
        <f>IF(管理者入力シート!$B$14=1,CD6*管理者用人口入力シート!BF$3,IF(管理者入力シート!$B$14=2,CD6*管理者用人口入力シート!BF$7))</f>
        <v>1.0130368470201084E-2</v>
      </c>
      <c r="CF9" s="9">
        <f t="shared" si="2"/>
        <v>940.54285937673012</v>
      </c>
      <c r="CG9" s="9">
        <f t="shared" si="20"/>
        <v>22.880622088701337</v>
      </c>
      <c r="CH9" s="9">
        <f t="shared" si="21"/>
        <v>14.665203558590312</v>
      </c>
      <c r="CI9" s="9">
        <f t="shared" si="3"/>
        <v>462.96024052384263</v>
      </c>
      <c r="CJ9" s="9">
        <f t="shared" si="22"/>
        <v>309.12698787852474</v>
      </c>
      <c r="CK9" s="13">
        <f t="shared" si="23"/>
        <v>0.49222662838632647</v>
      </c>
      <c r="CL9" s="13">
        <f t="shared" si="24"/>
        <v>0.32866868829706924</v>
      </c>
      <c r="CM9" s="9">
        <f t="shared" si="25"/>
        <v>89.253519919672286</v>
      </c>
      <c r="CO9" s="7" t="str">
        <f t="shared" si="26"/>
        <v>2035_1</v>
      </c>
      <c r="CP9" s="28">
        <f>管理者入力シート!B10</f>
        <v>2035</v>
      </c>
      <c r="CQ9" s="3" t="s">
        <v>21</v>
      </c>
      <c r="CR9" s="9">
        <f>DT10*$AK$13+将来予測シート②!$G17</f>
        <v>13.683755117172128</v>
      </c>
      <c r="CS9" s="9">
        <f>IF(管理者入力シート!$B$14=1,CR6*管理者用人口入力シート!AM$3,IF(管理者入力シート!$B$14=2,CR6*管理者用人口入力シート!AM$7))+将来予測シート②!$G18</f>
        <v>16.624364345072848</v>
      </c>
      <c r="CT9" s="9">
        <f>IF(管理者入力シート!$B$14=1,CS6*管理者用人口入力シート!AN$3,IF(管理者入力シート!$B$14=2,CS6*管理者用人口入力シート!AN$7))+将来予測シート②!$G19</f>
        <v>25.273884498730684</v>
      </c>
      <c r="CU9" s="9">
        <f>IF(管理者入力シート!$B$14=1,CT6*管理者用人口入力シート!AO$3,IF(管理者入力シート!$B$14=2,CT6*管理者用人口入力シート!AO$7))+将来予測シート②!$G20</f>
        <v>27.793885592606756</v>
      </c>
      <c r="CV9" s="9">
        <f>IF(管理者入力シート!$B$14=1,CU6*管理者用人口入力シート!AP$3,IF(管理者入力シート!$B$14=2,CU6*管理者用人口入力シート!AP$7))+将来予測シート②!$G21</f>
        <v>26.357978229764672</v>
      </c>
      <c r="CW9" s="9">
        <f>IF(管理者入力シート!$B$14=1,CV6*管理者用人口入力シート!AQ$3,IF(管理者入力シート!$B$14=2,CV6*管理者用人口入力シート!AQ$7))+将来予測シート②!$G22</f>
        <v>23.746890828399039</v>
      </c>
      <c r="CX9" s="9">
        <f>IF(管理者入力シート!$B$14=1,CW6*管理者用人口入力シート!AR$3,IF(管理者入力シート!$B$14=2,CW6*管理者用人口入力シート!AR$7))+将来予測シート②!$G23</f>
        <v>26.940691898065722</v>
      </c>
      <c r="CY9" s="9">
        <f>IF(管理者入力シート!$B$14=1,CX6*管理者用人口入力シート!AS$3,IF(管理者入力シート!$B$14=2,CX6*管理者用人口入力シート!AS$7))+将来予測シート②!$G24</f>
        <v>18.124764478011308</v>
      </c>
      <c r="CZ9" s="9">
        <f>IF(管理者入力シート!$B$14=1,CY6*管理者用人口入力シート!AT$3,IF(管理者入力シート!$B$14=2,CY6*管理者用人口入力シート!AT$7))+将来予測シート②!$G25</f>
        <v>25.048688476404315</v>
      </c>
      <c r="DA9" s="9">
        <f>IF(管理者入力シート!$B$14=1,CZ6*管理者用人口入力シート!AU$3,IF(管理者入力シート!$B$14=2,CZ6*管理者用人口入力シート!AU$7))+将来予測シート②!$G26</f>
        <v>48.259533599649593</v>
      </c>
      <c r="DB9" s="9">
        <f>IF(管理者入力シート!$B$14=1,DA6*管理者用人口入力シート!AV$3,IF(管理者入力シート!$B$14=2,DA6*管理者用人口入力シート!AV$7))+将来予測シート②!$G27</f>
        <v>62.895693791239495</v>
      </c>
      <c r="DC9" s="9">
        <f>IF(管理者入力シート!$B$14=1,DB6*管理者用人口入力シート!AW$3,IF(管理者入力シート!$B$14=2,DB6*管理者用人口入力シート!AW$7))+将来予測シート②!$G28</f>
        <v>81.703122816267879</v>
      </c>
      <c r="DD9" s="9">
        <f>IF(管理者入力シート!$B$14=1,DC6*管理者用人口入力シート!AX$3,IF(管理者入力シート!$B$14=2,DC6*管理者用人口入力シート!AX$7))+将来予測シート②!$G29</f>
        <v>93.511614104563009</v>
      </c>
      <c r="DE9" s="9">
        <f>IF(管理者入力シート!$B$14=1,DD6*管理者用人口入力シート!AY$3,IF(管理者入力シート!$B$14=2,DD6*管理者用人口入力シート!AY$7))</f>
        <v>70.2394421600941</v>
      </c>
      <c r="DF9" s="9">
        <f>IF(管理者入力シート!$B$14=1,DE6*管理者用人口入力シート!AZ$3,IF(管理者入力シート!$B$14=2,DE6*管理者用人口入力シート!AZ$7))</f>
        <v>83.593810485223798</v>
      </c>
      <c r="DG9" s="9">
        <f>IF(管理者入力シート!$B$14=1,DF6*管理者用人口入力シート!BA$3,IF(管理者入力シート!$B$14=2,DF6*管理者用人口入力シート!BA$7))</f>
        <v>103.9525967293429</v>
      </c>
      <c r="DH9" s="9">
        <f>IF(管理者入力シート!$B$14=1,DG6*管理者用人口入力シート!BB$3,IF(管理者入力シート!$B$14=2,DG6*管理者用人口入力シート!BB$7))</f>
        <v>108.54306675618662</v>
      </c>
      <c r="DI9" s="9">
        <f>IF(管理者入力シート!$B$14=1,DH6*管理者用人口入力シート!BC$3,IF(管理者入力シート!$B$14=2,DH6*管理者用人口入力シート!BC$7))</f>
        <v>65.10893752338508</v>
      </c>
      <c r="DJ9" s="9">
        <f>IF(管理者入力シート!$B$14=1,DI6*管理者用人口入力シート!BD$3,IF(管理者入力シート!$B$14=2,DI6*管理者用人口入力シート!BD$7))</f>
        <v>22.174971790116587</v>
      </c>
      <c r="DK9" s="9">
        <f>IF(管理者入力シート!$B$14=1,DJ6*管理者用人口入力シート!BE$3,IF(管理者入力シート!$B$14=2,DJ6*管理者用人口入力シート!BE$7))</f>
        <v>9.3372847110233916</v>
      </c>
      <c r="DL9" s="9">
        <f>IF(管理者入力シート!$B$14=1,DK6*管理者用人口入力シート!BF$3,IF(管理者入力シート!$B$14=2,DK6*管理者用人口入力シート!BF$7))</f>
        <v>1.0130368470201084E-2</v>
      </c>
      <c r="DM9" s="9">
        <f t="shared" si="69"/>
        <v>952.92510829979005</v>
      </c>
      <c r="DN9" s="9">
        <f t="shared" si="34"/>
        <v>25.138949306282122</v>
      </c>
      <c r="DO9" s="9">
        <f t="shared" si="35"/>
        <v>15.668330918013623</v>
      </c>
      <c r="DP9" s="9">
        <f t="shared" si="6"/>
        <v>462.96024052384263</v>
      </c>
      <c r="DQ9" s="9">
        <f t="shared" si="36"/>
        <v>309.12698787852474</v>
      </c>
      <c r="DR9" s="13">
        <f t="shared" si="37"/>
        <v>0.4858306665356491</v>
      </c>
      <c r="DS9" s="13">
        <f t="shared" si="38"/>
        <v>0.32439798803294145</v>
      </c>
      <c r="DT9" s="9">
        <f t="shared" si="70"/>
        <v>95.170325434240738</v>
      </c>
      <c r="DV9" s="7" t="s">
        <v>403</v>
      </c>
      <c r="DW9" s="209">
        <f>DW7+DW8</f>
        <v>-249.47950243714698</v>
      </c>
      <c r="DX9" s="28">
        <f>管理者入力シート!B10</f>
        <v>2035</v>
      </c>
      <c r="DY9" s="3" t="s">
        <v>21</v>
      </c>
      <c r="DZ9" s="9">
        <f>FB10*$AK$13</f>
        <v>47.897352583825921</v>
      </c>
      <c r="EA9" s="129">
        <f>IF(管理者入力シート!$B$14=1,DZ6*管理者用人口入力シート!AM$3,IF(管理者入力シート!$B$14=2,DZ6*管理者用人口入力シート!AM$7))</f>
        <v>47.730925420300053</v>
      </c>
      <c r="EB9" s="9">
        <f>IF(管理者入力シート!$B$14=1,EA6*管理者用人口入力シート!AN$3,IF(管理者入力シート!$B$14=2,EA6*管理者用人口入力シート!AN$7))</f>
        <v>23.171728263163864</v>
      </c>
      <c r="EC9" s="9">
        <f>IF(管理者入力シート!$B$14=1,EB6*管理者用人口入力シート!AO$3,IF(管理者入力シート!$B$14=2,EB6*管理者用人口入力シート!AO$7))</f>
        <v>26.982561266623836</v>
      </c>
      <c r="ED9" s="9">
        <f>IF(管理者入力シート!$B$14=1,EC6*管理者用人口入力シート!AP$3,IF(管理者入力シート!$B$14=2,EC6*管理者用人口入力シート!AP$7))</f>
        <v>25.856550107054687</v>
      </c>
      <c r="EE9" s="9">
        <f>IF(管理者入力シート!$B$14=1,ED6*管理者用人口入力シート!AQ$3,IF(管理者入力シート!$B$14=2,ED6*管理者用人口入力シート!AQ$7))+DX1</f>
        <v>63.746890828399039</v>
      </c>
      <c r="EF9" s="9">
        <f>IF(管理者入力シート!$B$14=1,EE6*管理者用人口入力シート!AR$3,IF(管理者入力シート!$B$14=2,EE6*管理者用人口入力シート!AR$7))+DX1</f>
        <v>104.23159087443457</v>
      </c>
      <c r="EG9" s="9">
        <f>IF(管理者入力シート!$B$14=1,EF6*管理者用人口入力シート!AS$3,IF(管理者入力シート!$B$14=2,EF6*管理者用人口入力シート!AS$7))+DX1</f>
        <v>132.4348088706796</v>
      </c>
      <c r="EH9" s="9">
        <f>IF(管理者入力シート!$B$14=1,EG6*管理者用人口入力シート!AT$3,IF(管理者入力シート!$B$14=2,EG6*管理者用人口入力シート!AT$7))</f>
        <v>106.58446582136089</v>
      </c>
      <c r="EI9" s="9">
        <f>IF(管理者入力シート!$B$14=1,EH6*管理者用人口入力シート!AU$3,IF(管理者入力シート!$B$14=2,EH6*管理者用人口入力シート!AU$7))</f>
        <v>88.921430404203463</v>
      </c>
      <c r="EJ9" s="9">
        <f>IF(管理者入力シート!$B$14=1,EI6*管理者用人口入力シート!AV$3,IF(管理者入力シート!$B$14=2,EI6*管理者用人口入力シート!AV$7))</f>
        <v>62.895693791239495</v>
      </c>
      <c r="EK9" s="9">
        <f>IF(管理者入力シート!$B$14=1,EJ6*管理者用人口入力シート!AW$3,IF(管理者入力シート!$B$14=2,EJ6*管理者用人口入力シート!AW$7))</f>
        <v>81.703122816267879</v>
      </c>
      <c r="EL9" s="9">
        <f>IF(管理者入力シート!$B$14=1,EK6*管理者用人口入力シート!AX$3,IF(管理者入力シート!$B$14=2,EK6*管理者用人口入力シート!AX$7))</f>
        <v>93.511614104563009</v>
      </c>
      <c r="EM9" s="9">
        <f>IF(管理者入力シート!$B$14=1,EL6*管理者用人口入力シート!AY$3,IF(管理者入力シート!$B$14=2,EL6*管理者用人口入力シート!AY$7))</f>
        <v>70.2394421600941</v>
      </c>
      <c r="EN9" s="9">
        <f>IF(管理者入力シート!$B$14=1,EM6*管理者用人口入力シート!AZ$3,IF(管理者入力シート!$B$14=2,EM6*管理者用人口入力シート!AZ$7))</f>
        <v>83.593810485223798</v>
      </c>
      <c r="EO9" s="9">
        <f>IF(管理者入力シート!$B$14=1,EN6*管理者用人口入力シート!BA$3,IF(管理者入力シート!$B$14=2,EN6*管理者用人口入力シート!BA$7))</f>
        <v>103.9525967293429</v>
      </c>
      <c r="EP9" s="9">
        <f>IF(管理者入力シート!$B$14=1,EO6*管理者用人口入力シート!BB$3,IF(管理者入力シート!$B$14=2,EO6*管理者用人口入力シート!BB$7))</f>
        <v>108.54306675618662</v>
      </c>
      <c r="EQ9" s="9">
        <f>IF(管理者入力シート!$B$14=1,EP6*管理者用人口入力シート!BC$3,IF(管理者入力シート!$B$14=2,EP6*管理者用人口入力シート!BC$7))</f>
        <v>65.10893752338508</v>
      </c>
      <c r="ER9" s="9">
        <f>IF(管理者入力シート!$B$14=1,EQ6*管理者用人口入力シート!BD$3,IF(管理者入力シート!$B$14=2,EQ6*管理者用人口入力シート!BD$7))</f>
        <v>22.174971790116587</v>
      </c>
      <c r="ES9" s="9">
        <f>IF(管理者入力シート!$B$14=1,ER6*管理者用人口入力シート!BE$3,IF(管理者入力シート!$B$14=2,ER6*管理者用人口入力シート!BE$7))</f>
        <v>9.3372847110233916</v>
      </c>
      <c r="ET9" s="9">
        <f>IF(管理者入力シート!$B$14=1,ES6*管理者用人口入力シート!BF$3,IF(管理者入力シート!$B$14=2,ES6*管理者用人口入力シート!BF$7))</f>
        <v>1.0130368470201084E-2</v>
      </c>
      <c r="EU9" s="9">
        <f t="shared" si="71"/>
        <v>1368.6289756759591</v>
      </c>
      <c r="EV9" s="9">
        <f t="shared" si="41"/>
        <v>42.541592210078349</v>
      </c>
      <c r="EW9" s="9">
        <f t="shared" si="42"/>
        <v>14.665203558590312</v>
      </c>
      <c r="EX9" s="9">
        <f t="shared" si="10"/>
        <v>462.96024052384263</v>
      </c>
      <c r="EY9" s="9">
        <f t="shared" si="43"/>
        <v>309.12698787852474</v>
      </c>
      <c r="EZ9" s="13">
        <f t="shared" si="44"/>
        <v>0.33826570148070179</v>
      </c>
      <c r="FA9" s="13">
        <f t="shared" si="45"/>
        <v>0.22586617218581717</v>
      </c>
      <c r="FB9" s="9">
        <f t="shared" si="72"/>
        <v>326.26984068056788</v>
      </c>
    </row>
    <row r="10" spans="1:158" x14ac:dyDescent="0.15">
      <c r="A10" s="7" t="str">
        <f t="shared" si="11"/>
        <v>2015_2</v>
      </c>
      <c r="B10" s="29">
        <v>2015</v>
      </c>
      <c r="C10" s="4" t="s">
        <v>22</v>
      </c>
      <c r="D10" s="10">
        <v>41</v>
      </c>
      <c r="E10" s="10">
        <v>49</v>
      </c>
      <c r="F10" s="10">
        <v>57</v>
      </c>
      <c r="G10" s="10">
        <v>59</v>
      </c>
      <c r="H10" s="10">
        <v>44</v>
      </c>
      <c r="I10" s="10">
        <v>66</v>
      </c>
      <c r="J10" s="10">
        <v>72</v>
      </c>
      <c r="K10" s="10">
        <v>69</v>
      </c>
      <c r="L10" s="10">
        <v>86</v>
      </c>
      <c r="M10" s="10">
        <v>73</v>
      </c>
      <c r="N10" s="10">
        <v>100</v>
      </c>
      <c r="O10" s="10">
        <v>165</v>
      </c>
      <c r="P10" s="10">
        <v>194</v>
      </c>
      <c r="Q10" s="10">
        <v>189</v>
      </c>
      <c r="R10" s="10">
        <v>149</v>
      </c>
      <c r="S10" s="10">
        <v>139</v>
      </c>
      <c r="T10" s="10">
        <v>159</v>
      </c>
      <c r="U10" s="10">
        <v>135</v>
      </c>
      <c r="V10" s="10">
        <v>62</v>
      </c>
      <c r="W10" s="10">
        <v>17</v>
      </c>
      <c r="X10" s="10">
        <v>8</v>
      </c>
      <c r="Y10" s="10">
        <f t="shared" si="68"/>
        <v>1933</v>
      </c>
      <c r="Z10" s="10">
        <f t="shared" si="12"/>
        <v>63.6</v>
      </c>
      <c r="AA10" s="10">
        <f t="shared" si="13"/>
        <v>34.6</v>
      </c>
      <c r="AB10" s="10">
        <f t="shared" si="0"/>
        <v>858</v>
      </c>
      <c r="AC10" s="10">
        <f t="shared" si="14"/>
        <v>520</v>
      </c>
      <c r="AD10" s="14">
        <f t="shared" si="15"/>
        <v>0.44386963269529228</v>
      </c>
      <c r="AE10" s="14">
        <f t="shared" si="16"/>
        <v>0.26901189860320746</v>
      </c>
      <c r="AF10" s="10">
        <f t="shared" si="17"/>
        <v>251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14.945339895655222</v>
      </c>
      <c r="BL10" s="10">
        <f>IF(管理者入力シート!$B$14=1,BK7*管理者用人口入力シート!AM$4,IF(管理者入力シート!$B$14=2,BK7*管理者用人口入力シート!AM$8))</f>
        <v>19.514573194039752</v>
      </c>
      <c r="BM10" s="10">
        <f>IF(管理者入力シート!$B$14=1,BL7*管理者用人口入力シート!AN$4,IF(管理者入力シート!$B$14=2,BL7*管理者用人口入力シート!AN$8))</f>
        <v>26.268505829283985</v>
      </c>
      <c r="BN10" s="10">
        <f>IF(管理者入力シート!$B$14=1,BM7*管理者用人口入力シート!AO$4,IF(管理者入力シート!$B$14=2,BM7*管理者用人口入力シート!AO$8))</f>
        <v>29.691883333856861</v>
      </c>
      <c r="BO10" s="10">
        <f>IF(管理者入力シート!$B$14=1,BN7*管理者用人口入力シート!AP$4,IF(管理者入力シート!$B$14=2,BN7*管理者用人口入力シート!AP$8))</f>
        <v>18.840695194961064</v>
      </c>
      <c r="BP10" s="10">
        <f>IF(管理者入力シート!$B$14=1,BO7*管理者用人口入力シート!AQ$4,IF(管理者入力シート!$B$14=2,BO7*管理者用人口入力シート!AQ$8))</f>
        <v>18.039212484715257</v>
      </c>
      <c r="BQ10" s="10">
        <f>IF(管理者入力シート!$B$14=1,BP7*管理者用人口入力シート!AR$4,IF(管理者入力シート!$B$14=2,BP7*管理者用人口入力シート!AR$8))</f>
        <v>18.682465795197064</v>
      </c>
      <c r="BR10" s="10">
        <f>IF(管理者入力シート!$B$14=1,BQ7*管理者用人口入力シート!AS$4,IF(管理者入力シート!$B$14=2,BQ7*管理者用人口入力シート!AS$8))</f>
        <v>19.959798968927394</v>
      </c>
      <c r="BS10" s="10">
        <f>IF(管理者入力シート!$B$14=1,BR7*管理者用人口入力シート!AT$4,IF(管理者入力シート!$B$14=2,BR7*管理者用人口入力シート!AT$8))</f>
        <v>24.257990320475027</v>
      </c>
      <c r="BT10" s="10">
        <f>IF(管理者入力シート!$B$14=1,BS7*管理者用人口入力シート!AU$4,IF(管理者入力シート!$B$14=2,BS7*管理者用人口入力シート!AU$8))</f>
        <v>51.243201334672641</v>
      </c>
      <c r="BU10" s="10">
        <f>IF(管理者入力シート!$B$14=1,BT7*管理者用人口入力シート!AV$4,IF(管理者入力シート!$B$14=2,BT7*管理者用人口入力シート!AV$8))</f>
        <v>66.233919891487986</v>
      </c>
      <c r="BV10" s="10">
        <f>IF(管理者入力シート!$B$14=1,BU7*管理者用人口入力シート!AW$4,IF(管理者入力シート!$B$14=2,BU7*管理者用人口入力シート!AW$8))</f>
        <v>74.429696890422036</v>
      </c>
      <c r="BW10" s="10">
        <f>IF(管理者入力シート!$B$14=1,BV7*管理者用人口入力シート!AX$4,IF(管理者入力シート!$B$14=2,BV7*管理者用人口入力シート!AX$8))</f>
        <v>84.739602984168755</v>
      </c>
      <c r="BX10" s="10">
        <f>IF(管理者入力シート!$B$14=1,BW7*管理者用人口入力シート!AY$4,IF(管理者入力シート!$B$14=2,BW7*管理者用人口入力シート!AY$8))</f>
        <v>69.556002069482759</v>
      </c>
      <c r="BY10" s="10">
        <f>IF(管理者入力シート!$B$14=1,BX7*管理者用人口入力シート!AZ$4,IF(管理者入力シート!$B$14=2,BX7*管理者用人口入力シート!AZ$8))</f>
        <v>95.948673957626113</v>
      </c>
      <c r="BZ10" s="10">
        <f>IF(管理者入力シート!$B$14=1,BY7*管理者用人口入力シート!BA$4,IF(管理者入力シート!$B$14=2,BY7*管理者用人口入力シート!BA$8))</f>
        <v>139.88029009123812</v>
      </c>
      <c r="CA10" s="10">
        <f>IF(管理者入力シート!$B$14=1,BZ7*管理者用人口入力シート!BB$4,IF(管理者入力シート!$B$14=2,BZ7*管理者用人口入力シート!BB$8))</f>
        <v>153.19993317603604</v>
      </c>
      <c r="CB10" s="10">
        <f>IF(管理者入力シート!$B$14=1,CA7*管理者用人口入力シート!BC$4,IF(管理者入力シート!$B$14=2,CA7*管理者用人口入力シート!BC$8))</f>
        <v>128.01094618443437</v>
      </c>
      <c r="CC10" s="10">
        <f>IF(管理者入力シート!$B$14=1,CB7*管理者用人口入力シート!BD$4,IF(管理者入力シート!$B$14=2,CB7*管理者用人口入力シート!BD$8))</f>
        <v>58.057952186247881</v>
      </c>
      <c r="CD10" s="10">
        <f>IF(管理者入力シート!$B$14=1,CC7*管理者用人口入力シート!BE$4,IF(管理者入力シート!$B$14=2,CC7*管理者用人口入力シート!BE$8))</f>
        <v>23.290364485683483</v>
      </c>
      <c r="CE10" s="10">
        <f>IF(管理者入力シート!$B$14=1,CD7*管理者用人口入力シート!BF$4,IF(管理者入力シート!$B$14=2,CD7*管理者用人口入力シート!BF$8))</f>
        <v>7.4497265871700584</v>
      </c>
      <c r="CF10" s="10">
        <f t="shared" si="2"/>
        <v>1142.2407748557819</v>
      </c>
      <c r="CG10" s="10">
        <f t="shared" si="20"/>
        <v>27.469847413994245</v>
      </c>
      <c r="CH10" s="10">
        <f t="shared" si="21"/>
        <v>16.445778998484968</v>
      </c>
      <c r="CI10" s="10">
        <f t="shared" si="3"/>
        <v>675.39388873791881</v>
      </c>
      <c r="CJ10" s="10">
        <f t="shared" si="22"/>
        <v>509.88921271080994</v>
      </c>
      <c r="CK10" s="14">
        <f t="shared" si="23"/>
        <v>0.59128854756843485</v>
      </c>
      <c r="CL10" s="14">
        <f t="shared" si="24"/>
        <v>0.44639381112549414</v>
      </c>
      <c r="CM10" s="10">
        <f t="shared" si="25"/>
        <v>75.52217244380077</v>
      </c>
      <c r="CO10" s="7" t="str">
        <f t="shared" si="26"/>
        <v>2035_2</v>
      </c>
      <c r="CP10" s="29">
        <f>CP9</f>
        <v>2035</v>
      </c>
      <c r="CQ10" s="4" t="s">
        <v>22</v>
      </c>
      <c r="CR10" s="10">
        <f>DT10*$AK$14+将来予測シート②!$H17</f>
        <v>17.073497656049703</v>
      </c>
      <c r="CS10" s="10">
        <f>IF(管理者入力シート!$B$14=1,CR7*管理者用人口入力シート!AM$4,IF(管理者入力シート!$B$14=2,CR7*管理者用人口入力シート!AM$8))+将来予測シート②!$H18</f>
        <v>21.392184241761047</v>
      </c>
      <c r="CT10" s="10">
        <f>IF(管理者入力シート!$B$14=1,CS7*管理者用人口入力シート!AN$4,IF(管理者入力シート!$B$14=2,CS7*管理者用人口入力シート!AN$8))+将来予測シート②!$H19</f>
        <v>28.254461894831984</v>
      </c>
      <c r="CU10" s="10">
        <f>IF(管理者入力シート!$B$14=1,CT7*管理者用人口入力シート!AO$4,IF(管理者入力シート!$B$14=2,CT7*管理者用人口入力シート!AO$8))+将来予測シート②!$H20</f>
        <v>30.479422438545331</v>
      </c>
      <c r="CV10" s="10">
        <f>IF(管理者入力シート!$B$14=1,CU7*管理者用人口入力シート!AP$4,IF(管理者入力シート!$B$14=2,CU7*管理者用人口入力シート!AP$8))+将来予測シート②!$H21</f>
        <v>19.319610707697137</v>
      </c>
      <c r="CW10" s="10">
        <f>IF(管理者入力シート!$B$14=1,CV7*管理者用人口入力シート!AQ$4,IF(管理者入力シート!$B$14=2,CV7*管理者用人口入力シート!AQ$8))+将来予測シート②!$H22</f>
        <v>20.039212484715257</v>
      </c>
      <c r="CX10" s="10">
        <f>IF(管理者入力シート!$B$14=1,CW7*管理者用人口入力シート!AR$4,IF(管理者入力シート!$B$14=2,CW7*管理者用人口入力シート!AR$8))+将来予測シート②!$H23</f>
        <v>20.383799978028758</v>
      </c>
      <c r="CY10" s="10">
        <f>IF(管理者入力シート!$B$14=1,CX7*管理者用人口入力シート!AS$4,IF(管理者入力シート!$B$14=2,CX7*管理者用人口入力シート!AS$8))+将来予測シート②!$H24</f>
        <v>21.4803848193677</v>
      </c>
      <c r="CZ10" s="10">
        <f>IF(管理者入力シート!$B$14=1,CY7*管理者用人口入力シート!AT$4,IF(管理者入力シート!$B$14=2,CY7*管理者用人口入力シート!AT$8))+将来予測シート②!$H25</f>
        <v>25.257990320475027</v>
      </c>
      <c r="DA10" s="10">
        <f>IF(管理者入力シート!$B$14=1,CZ7*管理者用人口入力シート!AU$4,IF(管理者入力シート!$B$14=2,CZ7*管理者用人口入力シート!AU$8))+将来予測シート②!$H26</f>
        <v>52.204323311842458</v>
      </c>
      <c r="DB10" s="10">
        <f>IF(管理者入力シート!$B$14=1,DA7*管理者用人口入力シート!AV$4,IF(管理者入力シート!$B$14=2,DA7*管理者用人口入力シート!AV$8))+将来予測シート②!$H27</f>
        <v>67.214484543213345</v>
      </c>
      <c r="DC10" s="10">
        <f>IF(管理者入力シート!$B$14=1,DB7*管理者用人口入力シート!AW$4,IF(管理者入力シート!$B$14=2,DB7*管理者用人口入力シート!AW$8))+将来予測シート②!$H28</f>
        <v>74.429696890422036</v>
      </c>
      <c r="DD10" s="10">
        <f>IF(管理者入力シート!$B$14=1,DC7*管理者用人口入力シート!AX$4,IF(管理者入力シート!$B$14=2,DC7*管理者用人口入力シート!AX$8))+将来予測シート②!$H29</f>
        <v>84.739602984168755</v>
      </c>
      <c r="DE10" s="10">
        <f>IF(管理者入力シート!$B$14=1,DD7*管理者用人口入力シート!AY$4,IF(管理者入力シート!$B$14=2,DD7*管理者用人口入力シート!AY$8))</f>
        <v>69.556002069482759</v>
      </c>
      <c r="DF10" s="10">
        <f>IF(管理者入力シート!$B$14=1,DE7*管理者用人口入力シート!AZ$4,IF(管理者入力シート!$B$14=2,DE7*管理者用人口入力シート!AZ$8))</f>
        <v>95.948673957626113</v>
      </c>
      <c r="DG10" s="10">
        <f>IF(管理者入力シート!$B$14=1,DF7*管理者用人口入力シート!BA$4,IF(管理者入力シート!$B$14=2,DF7*管理者用人口入力シート!BA$8))</f>
        <v>139.88029009123812</v>
      </c>
      <c r="DH10" s="10">
        <f>IF(管理者入力シート!$B$14=1,DG7*管理者用人口入力シート!BB$4,IF(管理者入力シート!$B$14=2,DG7*管理者用人口入力シート!BB$8))</f>
        <v>153.19993317603604</v>
      </c>
      <c r="DI10" s="10">
        <f>IF(管理者入力シート!$B$14=1,DH7*管理者用人口入力シート!BC$4,IF(管理者入力シート!$B$14=2,DH7*管理者用人口入力シート!BC$8))</f>
        <v>128.01094618443437</v>
      </c>
      <c r="DJ10" s="10">
        <f>IF(管理者入力シート!$B$14=1,DI7*管理者用人口入力シート!BD$4,IF(管理者入力シート!$B$14=2,DI7*管理者用人口入力シート!BD$8))</f>
        <v>58.057952186247881</v>
      </c>
      <c r="DK10" s="10">
        <f>IF(管理者入力シート!$B$14=1,DJ7*管理者用人口入力シート!BE$4,IF(管理者入力シート!$B$14=2,DJ7*管理者用人口入力シート!BE$8))</f>
        <v>23.290364485683483</v>
      </c>
      <c r="DL10" s="10">
        <f>IF(管理者入力シート!$B$14=1,DK7*管理者用人口入力シート!BF$4,IF(管理者入力シート!$B$14=2,DK7*管理者用人口入力シート!BF$8))</f>
        <v>7.4497265871700584</v>
      </c>
      <c r="DM10" s="10">
        <f t="shared" si="69"/>
        <v>1157.6625610090375</v>
      </c>
      <c r="DN10" s="10">
        <f t="shared" si="34"/>
        <v>29.787987681955819</v>
      </c>
      <c r="DO10" s="10">
        <f t="shared" si="35"/>
        <v>17.397669245641858</v>
      </c>
      <c r="DP10" s="10">
        <f t="shared" si="6"/>
        <v>675.39388873791881</v>
      </c>
      <c r="DQ10" s="10">
        <f t="shared" si="36"/>
        <v>509.88921271080994</v>
      </c>
      <c r="DR10" s="14">
        <f t="shared" si="37"/>
        <v>0.58341170517705476</v>
      </c>
      <c r="DS10" s="14">
        <f t="shared" si="38"/>
        <v>0.4404471820064581</v>
      </c>
      <c r="DT10" s="10">
        <f t="shared" si="70"/>
        <v>81.223007989808849</v>
      </c>
      <c r="DV10" s="62" t="s">
        <v>405</v>
      </c>
      <c r="DW10" s="209">
        <f>((SUM(BL12:BL13)*3/5+SUM(BM12:BM13)+SUM(BN12:BN13)*1/5)-(SUM(E12:E13)*3/5+SUM(F12:F13)+SUM(G12:G13)*1/5))/4</f>
        <v>-32.252368173562992</v>
      </c>
      <c r="DX10" s="29">
        <f>DX9</f>
        <v>2035</v>
      </c>
      <c r="DY10" s="4" t="s">
        <v>22</v>
      </c>
      <c r="DZ10" s="10">
        <f>FB10*$AK$14</f>
        <v>60.697953987206759</v>
      </c>
      <c r="EA10" s="10">
        <f>IF(管理者入力シート!$B$14=1,DZ7*管理者用人口入力シート!AM$4,IF(管理者入力シート!$B$14=2,DZ7*管理者用人口入力シート!AM$8))</f>
        <v>62.25161605237038</v>
      </c>
      <c r="EB10" s="10">
        <f>IF(管理者入力シート!$B$14=1,EA7*管理者用人口入力シート!AN$4,IF(管理者入力シート!$B$14=2,EA7*管理者用人口入力シート!AN$8))</f>
        <v>26.268505829283985</v>
      </c>
      <c r="EC10" s="10">
        <f>IF(管理者入力シート!$B$14=1,EB7*管理者用人口入力シート!AO$4,IF(管理者入力シート!$B$14=2,EB7*管理者用人口入力シート!AO$8))</f>
        <v>29.691883333856861</v>
      </c>
      <c r="ED10" s="10">
        <f>IF(管理者入力シート!$B$14=1,EC7*管理者用人口入力シート!AP$4,IF(管理者入力シート!$B$14=2,EC7*管理者用人口入力シート!AP$8))</f>
        <v>18.840695194961064</v>
      </c>
      <c r="EE10" s="10">
        <f>IF(管理者入力シート!$B$14=1,ED7*管理者用人口入力シート!AQ$4,IF(管理者入力シート!$B$14=2,ED7*管理者用人口入力シート!AQ$8))+DX1</f>
        <v>60.039212484715257</v>
      </c>
      <c r="EF10" s="10">
        <f>IF(管理者入力シート!$B$14=1,EE7*管理者用人口入力シート!AR$4,IF(管理者入力シート!$B$14=2,EE7*管理者用人口入力シート!AR$8))+DX1</f>
        <v>96.41048363466264</v>
      </c>
      <c r="EG10" s="10">
        <f>IF(管理者入力シート!$B$14=1,EF7*管理者用人口入力シート!AS$4,IF(管理者入力シート!$B$14=2,EF7*管理者用人口入力シート!AS$8))+DX1</f>
        <v>131.43005666559264</v>
      </c>
      <c r="EH10" s="10">
        <f>IF(管理者入力シート!$B$14=1,EG7*管理者用人口入力シート!AT$4,IF(管理者入力シート!$B$14=2,EG7*管理者用人口入力シート!AT$8))</f>
        <v>102.86092349802236</v>
      </c>
      <c r="EI10" s="10">
        <f>IF(管理者入力シート!$B$14=1,EH7*管理者用人口入力シート!AU$4,IF(管理者入力シート!$B$14=2,EH7*管理者用人口入力シート!AU$8))</f>
        <v>91.135781945498465</v>
      </c>
      <c r="EJ10" s="10">
        <f>IF(管理者入力シート!$B$14=1,EI7*管理者用人口入力シート!AV$4,IF(管理者入力シート!$B$14=2,EI7*管理者用人口入力シート!AV$8))</f>
        <v>66.233919891487986</v>
      </c>
      <c r="EK10" s="10">
        <f>IF(管理者入力シート!$B$14=1,EJ7*管理者用人口入力シート!AW$4,IF(管理者入力シート!$B$14=2,EJ7*管理者用人口入力シート!AW$8))</f>
        <v>74.429696890422036</v>
      </c>
      <c r="EL10" s="10">
        <f>IF(管理者入力シート!$B$14=1,EK7*管理者用人口入力シート!AX$4,IF(管理者入力シート!$B$14=2,EK7*管理者用人口入力シート!AX$8))</f>
        <v>84.739602984168755</v>
      </c>
      <c r="EM10" s="10">
        <f>IF(管理者入力シート!$B$14=1,EL7*管理者用人口入力シート!AY$4,IF(管理者入力シート!$B$14=2,EL7*管理者用人口入力シート!AY$8))</f>
        <v>69.556002069482759</v>
      </c>
      <c r="EN10" s="10">
        <f>IF(管理者入力シート!$B$14=1,EM7*管理者用人口入力シート!AZ$4,IF(管理者入力シート!$B$14=2,EM7*管理者用人口入力シート!AZ$8))</f>
        <v>95.948673957626113</v>
      </c>
      <c r="EO10" s="10">
        <f>IF(管理者入力シート!$B$14=1,EN7*管理者用人口入力シート!BA$4,IF(管理者入力シート!$B$14=2,EN7*管理者用人口入力シート!BA$8))</f>
        <v>139.88029009123812</v>
      </c>
      <c r="EP10" s="10">
        <f>IF(管理者入力シート!$B$14=1,EO7*管理者用人口入力シート!BB$4,IF(管理者入力シート!$B$14=2,EO7*管理者用人口入力シート!BB$8))</f>
        <v>153.19993317603604</v>
      </c>
      <c r="EQ10" s="10">
        <f>IF(管理者入力シート!$B$14=1,EP7*管理者用人口入力シート!BC$4,IF(管理者入力シート!$B$14=2,EP7*管理者用人口入力シート!BC$8))</f>
        <v>128.01094618443437</v>
      </c>
      <c r="ER10" s="10">
        <f>IF(管理者入力シート!$B$14=1,EQ7*管理者用人口入力シート!BD$4,IF(管理者入力シート!$B$14=2,EQ7*管理者用人口入力シート!BD$8))</f>
        <v>58.057952186247881</v>
      </c>
      <c r="ES10" s="10">
        <f>IF(管理者入力シート!$B$14=1,ER7*管理者用人口入力シート!BE$4,IF(管理者入力シート!$B$14=2,ER7*管理者用人口入力シート!BE$8))</f>
        <v>23.290364485683483</v>
      </c>
      <c r="ET10" s="10">
        <f>IF(管理者入力シート!$B$14=1,ES7*管理者用人口入力シート!BF$4,IF(管理者入力シート!$B$14=2,ES7*管理者用人口入力シート!BF$8))</f>
        <v>7.4497265871700584</v>
      </c>
      <c r="EU10" s="10">
        <f t="shared" si="71"/>
        <v>1580.4242211301678</v>
      </c>
      <c r="EV10" s="10">
        <f t="shared" si="41"/>
        <v>53.11207312899262</v>
      </c>
      <c r="EW10" s="10">
        <f t="shared" si="42"/>
        <v>16.445778998484968</v>
      </c>
      <c r="EX10" s="10">
        <f t="shared" si="10"/>
        <v>675.39388873791881</v>
      </c>
      <c r="EY10" s="10">
        <f t="shared" si="43"/>
        <v>509.88921271080994</v>
      </c>
      <c r="EZ10" s="14">
        <f t="shared" si="44"/>
        <v>0.42734974553537397</v>
      </c>
      <c r="FA10" s="14">
        <f t="shared" si="45"/>
        <v>0.32262806776410075</v>
      </c>
      <c r="FB10" s="10">
        <f t="shared" si="72"/>
        <v>306.72044797993158</v>
      </c>
    </row>
    <row r="11" spans="1:158" x14ac:dyDescent="0.15">
      <c r="A11" s="7" t="str">
        <f t="shared" si="11"/>
        <v>2015_3</v>
      </c>
      <c r="B11" s="30">
        <v>2015</v>
      </c>
      <c r="C11" s="5" t="s">
        <v>23</v>
      </c>
      <c r="D11" s="11">
        <v>84.01951951951952</v>
      </c>
      <c r="E11" s="11">
        <v>109.03303303303304</v>
      </c>
      <c r="F11" s="11">
        <v>141.04954954954954</v>
      </c>
      <c r="G11" s="11">
        <v>118.04054054054055</v>
      </c>
      <c r="H11" s="11">
        <v>95.034534534534529</v>
      </c>
      <c r="I11" s="11">
        <v>126.03303303303304</v>
      </c>
      <c r="J11" s="11">
        <v>143.04054054054055</v>
      </c>
      <c r="K11" s="11">
        <v>152.04204204204206</v>
      </c>
      <c r="L11" s="11">
        <v>177.04354354354354</v>
      </c>
      <c r="M11" s="11">
        <v>150.03903903903904</v>
      </c>
      <c r="N11" s="11">
        <v>202.05705705705705</v>
      </c>
      <c r="O11" s="11">
        <v>307.0975975975976</v>
      </c>
      <c r="P11" s="11">
        <v>394.12912912912913</v>
      </c>
      <c r="Q11" s="11">
        <v>366.11261261261262</v>
      </c>
      <c r="R11" s="11">
        <v>268.06756756756755</v>
      </c>
      <c r="S11" s="11">
        <v>239.05255255255256</v>
      </c>
      <c r="T11" s="11">
        <v>252.04954954954954</v>
      </c>
      <c r="U11" s="11">
        <v>216.04954954954954</v>
      </c>
      <c r="V11" s="11">
        <v>86.009009009009006</v>
      </c>
      <c r="W11" s="11">
        <v>24</v>
      </c>
      <c r="X11" s="11">
        <v>8</v>
      </c>
      <c r="Y11" s="11">
        <f t="shared" si="68"/>
        <v>3658.0000000000005</v>
      </c>
      <c r="Z11" s="11">
        <f t="shared" si="12"/>
        <v>150.04954954954957</v>
      </c>
      <c r="AA11" s="11">
        <f t="shared" si="13"/>
        <v>80.027927927927919</v>
      </c>
      <c r="AB11" s="11">
        <f t="shared" si="0"/>
        <v>1459.3408408408409</v>
      </c>
      <c r="AC11" s="11">
        <f t="shared" si="14"/>
        <v>825.1606606606606</v>
      </c>
      <c r="AD11" s="15">
        <f t="shared" si="15"/>
        <v>0.39894500843106634</v>
      </c>
      <c r="AE11" s="15">
        <f t="shared" si="16"/>
        <v>0.22557699854036645</v>
      </c>
      <c r="AF11" s="11">
        <f t="shared" si="17"/>
        <v>516.15015015015024</v>
      </c>
      <c r="BH11" s="7" t="str">
        <f t="shared" si="19"/>
        <v>2035_3</v>
      </c>
      <c r="BI11" s="30">
        <f>BI10</f>
        <v>2035</v>
      </c>
      <c r="BJ11" s="5" t="s">
        <v>23</v>
      </c>
      <c r="BK11" s="16">
        <f>BK9+BK10</f>
        <v>26.738854626286759</v>
      </c>
      <c r="BL11" s="16">
        <f t="shared" ref="BL11" si="117">BL9+BL10</f>
        <v>34.477215078711446</v>
      </c>
      <c r="BM11" s="16">
        <f t="shared" ref="BM11" si="118">BM9+BM10</f>
        <v>49.440234092447852</v>
      </c>
      <c r="BN11" s="16">
        <f t="shared" ref="BN11" si="119">BN9+BN10</f>
        <v>56.674444600480697</v>
      </c>
      <c r="BO11" s="16">
        <f t="shared" ref="BO11" si="120">BO9+BO10</f>
        <v>44.697245302015752</v>
      </c>
      <c r="BP11" s="16">
        <f t="shared" ref="BP11" si="121">BP9+BP10</f>
        <v>39.786103313114296</v>
      </c>
      <c r="BQ11" s="16">
        <f t="shared" ref="BQ11" si="122">BQ9+BQ10</f>
        <v>43.858612744444343</v>
      </c>
      <c r="BR11" s="16">
        <f t="shared" ref="BR11" si="123">BR9+BR10</f>
        <v>36.433731003898657</v>
      </c>
      <c r="BS11" s="16">
        <f t="shared" ref="BS11" si="124">BS9+BS10</f>
        <v>49.306678796879339</v>
      </c>
      <c r="BT11" s="16">
        <f t="shared" ref="BT11" si="125">BT9+BT10</f>
        <v>99.502734934322234</v>
      </c>
      <c r="BU11" s="16">
        <f t="shared" ref="BU11" si="126">BU9+BU10</f>
        <v>129.12961368272749</v>
      </c>
      <c r="BV11" s="16">
        <f t="shared" ref="BV11" si="127">BV9+BV10</f>
        <v>156.13281970668993</v>
      </c>
      <c r="BW11" s="16">
        <f t="shared" ref="BW11" si="128">BW9+BW10</f>
        <v>178.25121708873178</v>
      </c>
      <c r="BX11" s="16">
        <f t="shared" ref="BX11" si="129">BX9+BX10</f>
        <v>139.79544422957684</v>
      </c>
      <c r="BY11" s="16">
        <f t="shared" ref="BY11" si="130">BY9+BY10</f>
        <v>179.54248444284991</v>
      </c>
      <c r="BZ11" s="16">
        <f t="shared" ref="BZ11" si="131">BZ9+BZ10</f>
        <v>243.83288682058102</v>
      </c>
      <c r="CA11" s="16">
        <f t="shared" ref="CA11" si="132">CA9+CA10</f>
        <v>261.74299993222269</v>
      </c>
      <c r="CB11" s="16">
        <f t="shared" ref="CB11" si="133">CB9+CB10</f>
        <v>193.11988370781944</v>
      </c>
      <c r="CC11" s="16">
        <f t="shared" ref="CC11" si="134">CC9+CC10</f>
        <v>80.232923976364475</v>
      </c>
      <c r="CD11" s="16">
        <f t="shared" ref="CD11" si="135">CD9+CD10</f>
        <v>32.627649196706876</v>
      </c>
      <c r="CE11" s="16">
        <f t="shared" ref="CE11" si="136">CE9+CE10</f>
        <v>7.4598569556402596</v>
      </c>
      <c r="CF11" s="11">
        <f t="shared" si="2"/>
        <v>2082.7836342325118</v>
      </c>
      <c r="CG11" s="11">
        <f t="shared" si="20"/>
        <v>50.350469502695582</v>
      </c>
      <c r="CH11" s="11">
        <f t="shared" si="21"/>
        <v>31.110982557075282</v>
      </c>
      <c r="CI11" s="11">
        <f t="shared" si="3"/>
        <v>1138.3541292617617</v>
      </c>
      <c r="CJ11" s="11">
        <f t="shared" si="22"/>
        <v>819.01620058933474</v>
      </c>
      <c r="CK11" s="15">
        <f t="shared" si="23"/>
        <v>0.54655419341300693</v>
      </c>
      <c r="CL11" s="15">
        <f t="shared" si="24"/>
        <v>0.39323153261242871</v>
      </c>
      <c r="CM11" s="11">
        <f t="shared" si="25"/>
        <v>164.77569236347304</v>
      </c>
      <c r="CO11" s="7" t="str">
        <f t="shared" si="26"/>
        <v>2035_3</v>
      </c>
      <c r="CP11" s="30">
        <f>CP10</f>
        <v>2035</v>
      </c>
      <c r="CQ11" s="5" t="s">
        <v>23</v>
      </c>
      <c r="CR11" s="16">
        <f>CR9+CR10</f>
        <v>30.757252773221829</v>
      </c>
      <c r="CS11" s="16">
        <f t="shared" ref="CS11" si="137">CS9+CS10</f>
        <v>38.016548586833892</v>
      </c>
      <c r="CT11" s="16">
        <f t="shared" ref="CT11" si="138">CT9+CT10</f>
        <v>53.528346393562671</v>
      </c>
      <c r="CU11" s="16">
        <f t="shared" ref="CU11" si="139">CU9+CU10</f>
        <v>58.273308031152084</v>
      </c>
      <c r="CV11" s="16">
        <f t="shared" ref="CV11" si="140">CV9+CV10</f>
        <v>45.677588937461806</v>
      </c>
      <c r="CW11" s="16">
        <f t="shared" ref="CW11" si="141">CW9+CW10</f>
        <v>43.786103313114296</v>
      </c>
      <c r="CX11" s="16">
        <f t="shared" ref="CX11" si="142">CX9+CX10</f>
        <v>47.324491876094484</v>
      </c>
      <c r="CY11" s="16">
        <f t="shared" ref="CY11" si="143">CY9+CY10</f>
        <v>39.605149297379008</v>
      </c>
      <c r="CZ11" s="16">
        <f t="shared" ref="CZ11" si="144">CZ9+CZ10</f>
        <v>50.306678796879339</v>
      </c>
      <c r="DA11" s="16">
        <f t="shared" ref="DA11" si="145">DA9+DA10</f>
        <v>100.46385691149206</v>
      </c>
      <c r="DB11" s="16">
        <f t="shared" ref="DB11" si="146">DB9+DB10</f>
        <v>130.11017833445283</v>
      </c>
      <c r="DC11" s="16">
        <f t="shared" ref="DC11" si="147">DC9+DC10</f>
        <v>156.13281970668993</v>
      </c>
      <c r="DD11" s="16">
        <f t="shared" ref="DD11" si="148">DD9+DD10</f>
        <v>178.25121708873178</v>
      </c>
      <c r="DE11" s="16">
        <f t="shared" ref="DE11" si="149">DE9+DE10</f>
        <v>139.79544422957684</v>
      </c>
      <c r="DF11" s="16">
        <f t="shared" ref="DF11" si="150">DF9+DF10</f>
        <v>179.54248444284991</v>
      </c>
      <c r="DG11" s="16">
        <f t="shared" ref="DG11" si="151">DG9+DG10</f>
        <v>243.83288682058102</v>
      </c>
      <c r="DH11" s="16">
        <f t="shared" ref="DH11" si="152">DH9+DH10</f>
        <v>261.74299993222269</v>
      </c>
      <c r="DI11" s="16">
        <f t="shared" ref="DI11" si="153">DI9+DI10</f>
        <v>193.11988370781944</v>
      </c>
      <c r="DJ11" s="16">
        <f t="shared" ref="DJ11" si="154">DJ9+DJ10</f>
        <v>80.232923976364475</v>
      </c>
      <c r="DK11" s="16">
        <f t="shared" ref="DK11" si="155">DK9+DK10</f>
        <v>32.627649196706876</v>
      </c>
      <c r="DL11" s="16">
        <f t="shared" ref="DL11" si="156">DL9+DL10</f>
        <v>7.4598569556402596</v>
      </c>
      <c r="DM11" s="11">
        <f t="shared" si="69"/>
        <v>2110.5876693088276</v>
      </c>
      <c r="DN11" s="11">
        <f t="shared" si="34"/>
        <v>54.926936988237941</v>
      </c>
      <c r="DO11" s="11">
        <f t="shared" si="35"/>
        <v>33.066000163655488</v>
      </c>
      <c r="DP11" s="11">
        <f t="shared" si="6"/>
        <v>1138.3541292617617</v>
      </c>
      <c r="DQ11" s="11">
        <f t="shared" si="36"/>
        <v>819.01620058933474</v>
      </c>
      <c r="DR11" s="15">
        <f t="shared" si="37"/>
        <v>0.53935410777537063</v>
      </c>
      <c r="DS11" s="15">
        <f t="shared" si="38"/>
        <v>0.38805125818703617</v>
      </c>
      <c r="DT11" s="11">
        <f t="shared" si="70"/>
        <v>176.39333342404959</v>
      </c>
      <c r="DW11" s="210"/>
      <c r="DX11" s="30">
        <f>DX10</f>
        <v>2035</v>
      </c>
      <c r="DY11" s="5" t="s">
        <v>23</v>
      </c>
      <c r="DZ11" s="16">
        <f>DZ9+DZ10</f>
        <v>108.59530657103268</v>
      </c>
      <c r="EA11" s="16">
        <f t="shared" ref="EA11" si="157">EA9+EA10</f>
        <v>109.98254147267043</v>
      </c>
      <c r="EB11" s="16">
        <f t="shared" ref="EB11" si="158">EB9+EB10</f>
        <v>49.440234092447852</v>
      </c>
      <c r="EC11" s="16">
        <f t="shared" ref="EC11" si="159">EC9+EC10</f>
        <v>56.674444600480697</v>
      </c>
      <c r="ED11" s="16">
        <f t="shared" ref="ED11" si="160">ED9+ED10</f>
        <v>44.697245302015752</v>
      </c>
      <c r="EE11" s="16">
        <f t="shared" ref="EE11" si="161">EE9+EE10</f>
        <v>123.7861033131143</v>
      </c>
      <c r="EF11" s="16">
        <f t="shared" ref="EF11" si="162">EF9+EF10</f>
        <v>200.6420745090972</v>
      </c>
      <c r="EG11" s="16">
        <f t="shared" ref="EG11" si="163">EG9+EG10</f>
        <v>263.86486553627225</v>
      </c>
      <c r="EH11" s="16">
        <f t="shared" ref="EH11" si="164">EH9+EH10</f>
        <v>209.44538931938325</v>
      </c>
      <c r="EI11" s="16">
        <f t="shared" ref="EI11" si="165">EI9+EI10</f>
        <v>180.05721234970193</v>
      </c>
      <c r="EJ11" s="16">
        <f t="shared" ref="EJ11" si="166">EJ9+EJ10</f>
        <v>129.12961368272749</v>
      </c>
      <c r="EK11" s="16">
        <f t="shared" ref="EK11" si="167">EK9+EK10</f>
        <v>156.13281970668993</v>
      </c>
      <c r="EL11" s="16">
        <f t="shared" ref="EL11" si="168">EL9+EL10</f>
        <v>178.25121708873178</v>
      </c>
      <c r="EM11" s="16">
        <f t="shared" ref="EM11" si="169">EM9+EM10</f>
        <v>139.79544422957684</v>
      </c>
      <c r="EN11" s="16">
        <f t="shared" ref="EN11" si="170">EN9+EN10</f>
        <v>179.54248444284991</v>
      </c>
      <c r="EO11" s="16">
        <f t="shared" ref="EO11" si="171">EO9+EO10</f>
        <v>243.83288682058102</v>
      </c>
      <c r="EP11" s="16">
        <f t="shared" ref="EP11" si="172">EP9+EP10</f>
        <v>261.74299993222269</v>
      </c>
      <c r="EQ11" s="16">
        <f t="shared" ref="EQ11" si="173">EQ9+EQ10</f>
        <v>193.11988370781944</v>
      </c>
      <c r="ER11" s="16">
        <f t="shared" ref="ER11" si="174">ER9+ER10</f>
        <v>80.232923976364475</v>
      </c>
      <c r="ES11" s="16">
        <f t="shared" ref="ES11" si="175">ES9+ES10</f>
        <v>32.627649196706876</v>
      </c>
      <c r="ET11" s="16">
        <f t="shared" ref="ET11" si="176">ET9+ET10</f>
        <v>7.4598569556402596</v>
      </c>
      <c r="EU11" s="11">
        <f t="shared" si="71"/>
        <v>2949.0531968061264</v>
      </c>
      <c r="EV11" s="11">
        <f t="shared" si="41"/>
        <v>95.653665339070969</v>
      </c>
      <c r="EW11" s="11">
        <f t="shared" si="42"/>
        <v>31.110982557075282</v>
      </c>
      <c r="EX11" s="11">
        <f t="shared" si="10"/>
        <v>1138.3541292617617</v>
      </c>
      <c r="EY11" s="11">
        <f t="shared" si="43"/>
        <v>819.01620058933474</v>
      </c>
      <c r="EZ11" s="15">
        <f t="shared" si="44"/>
        <v>0.38600664460533235</v>
      </c>
      <c r="FA11" s="15">
        <f t="shared" si="45"/>
        <v>0.27772174522872051</v>
      </c>
      <c r="FB11" s="11">
        <f t="shared" si="72"/>
        <v>632.99028866049957</v>
      </c>
    </row>
    <row r="12" spans="1:158" x14ac:dyDescent="0.15">
      <c r="A12" s="7" t="str">
        <f t="shared" si="11"/>
        <v>2020_1</v>
      </c>
      <c r="B12" s="28">
        <v>2020</v>
      </c>
      <c r="C12" s="3" t="s">
        <v>21</v>
      </c>
      <c r="D12" s="9">
        <v>30.174877253456316</v>
      </c>
      <c r="E12" s="9">
        <v>49.268631442256449</v>
      </c>
      <c r="F12" s="9">
        <v>63.375689732857147</v>
      </c>
      <c r="G12" s="9">
        <v>67.469354787727383</v>
      </c>
      <c r="H12" s="9">
        <v>29.164765091539337</v>
      </c>
      <c r="I12" s="9">
        <v>30.256524482771525</v>
      </c>
      <c r="J12" s="9">
        <v>53.281262566400386</v>
      </c>
      <c r="K12" s="9">
        <v>64.394270475382569</v>
      </c>
      <c r="L12" s="9">
        <v>83.498017467964203</v>
      </c>
      <c r="M12" s="9">
        <v>93.593999081799623</v>
      </c>
      <c r="N12" s="9">
        <v>74.526415406141439</v>
      </c>
      <c r="O12" s="9">
        <v>100.79398711081609</v>
      </c>
      <c r="P12" s="9">
        <v>140.01461301872376</v>
      </c>
      <c r="Q12" s="9">
        <v>186.25563885859509</v>
      </c>
      <c r="R12" s="9">
        <v>158.15968403989172</v>
      </c>
      <c r="S12" s="9">
        <v>105.61266895825494</v>
      </c>
      <c r="T12" s="9">
        <v>84.600240237372773</v>
      </c>
      <c r="U12" s="9">
        <v>57.329589862146406</v>
      </c>
      <c r="V12" s="9">
        <v>34.181940199683744</v>
      </c>
      <c r="W12" s="9">
        <v>10.047829926219087</v>
      </c>
      <c r="X12" s="9">
        <v>0</v>
      </c>
      <c r="Y12" s="9">
        <f t="shared" ref="Y12:Y14" si="177">SUM(D12:X12)</f>
        <v>1516.0000000000002</v>
      </c>
      <c r="Z12" s="9">
        <f>E12*3/5+F12*3/5</f>
        <v>67.586592705068171</v>
      </c>
      <c r="AA12" s="9">
        <f>F12*2/5+G12*1/5</f>
        <v>38.844146850688333</v>
      </c>
      <c r="AB12" s="9">
        <f t="shared" ref="AB12:AB14" si="178">SUM(Q12:X12)</f>
        <v>636.18759208216363</v>
      </c>
      <c r="AC12" s="9">
        <f>SUM(S12:X12)</f>
        <v>291.772269183677</v>
      </c>
      <c r="AD12" s="13">
        <f>AB12/Y12</f>
        <v>0.4196488074420604</v>
      </c>
      <c r="AE12" s="13">
        <f>AC12/Y12</f>
        <v>0.19246191898659429</v>
      </c>
      <c r="AF12" s="9">
        <f>SUM(H12:K12)</f>
        <v>177.09682261609382</v>
      </c>
      <c r="AK12" s="61">
        <f>管理者入力シート!B5</f>
        <v>2020</v>
      </c>
      <c r="AL12" s="62"/>
      <c r="BH12" s="7" t="str">
        <f t="shared" si="19"/>
        <v>2040_1</v>
      </c>
      <c r="BI12" s="28">
        <f>管理者入力シート!B11</f>
        <v>2040</v>
      </c>
      <c r="BJ12" s="3" t="s">
        <v>21</v>
      </c>
      <c r="BK12" s="9">
        <f>CM13*$AK$13</f>
        <v>10.219838381344712</v>
      </c>
      <c r="BL12" s="9">
        <f>IF(管理者入力シート!$B$14=1,BK9*管理者用人口入力シート!AM$3,IF(管理者入力シート!$B$14=2,BK9*管理者用人口入力シート!AM$7))</f>
        <v>12.419240107180432</v>
      </c>
      <c r="BM12" s="9">
        <f>IF(管理者入力シート!$B$14=1,BL9*管理者用人口入力シート!AN$3,IF(管理者入力シート!$B$14=2,BL9*管理者用人口入力シート!AN$7))</f>
        <v>15.660285450815932</v>
      </c>
      <c r="BN12" s="9">
        <f>IF(管理者入力シート!$B$14=1,BM9*管理者用人口入力シート!AO$3,IF(管理者入力シート!$B$14=2,BM9*管理者用人口入力シート!AO$7))</f>
        <v>18.799786814970862</v>
      </c>
      <c r="BO12" s="9">
        <f>IF(管理者入力シート!$B$14=1,BN9*管理者用人口入力シート!AP$3,IF(管理者入力シート!$B$14=2,BN9*管理者用人口入力シート!AP$7))</f>
        <v>16.676210250985548</v>
      </c>
      <c r="BP12" s="9">
        <f>IF(管理者入力シート!$B$14=1,BO9*管理者用人口入力シート!AQ$3,IF(管理者入力シート!$B$14=2,BO9*管理者用人口入力シート!AQ$7))</f>
        <v>17.694421422934507</v>
      </c>
      <c r="BQ12" s="9">
        <f>IF(管理者入力シート!$B$14=1,BP9*管理者用人口入力シート!AR$3,IF(管理者入力シート!$B$14=2,BP9*管理者用人口入力シート!AR$7))</f>
        <v>19.186683181878816</v>
      </c>
      <c r="BR12" s="9">
        <f>IF(管理者入力シート!$B$14=1,BQ9*管理者用人口入力シート!AS$3,IF(管理者入力シート!$B$14=2,BQ9*管理者用人口入力シート!AS$7))</f>
        <v>23.553721429647407</v>
      </c>
      <c r="BS12" s="9">
        <f>IF(管理者入力シート!$B$14=1,BR9*管理者用人口入力シート!AT$3,IF(管理者入力シート!$B$14=2,BR9*管理者用人口入力シート!AT$7))</f>
        <v>16.523050188902705</v>
      </c>
      <c r="BT12" s="9">
        <f>IF(管理者入力シート!$B$14=1,BS9*管理者用人口入力シート!AU$3,IF(管理者入力シート!$B$14=2,BS9*管理者用人口入力シート!AU$7))</f>
        <v>24.178557263274961</v>
      </c>
      <c r="BU12" s="9">
        <f>IF(管理者入力シート!$B$14=1,BT9*管理者用人口入力シート!AV$3,IF(管理者入力シート!$B$14=2,BT9*管理者用人口入力シート!AV$7))</f>
        <v>48.687610607306844</v>
      </c>
      <c r="BV12" s="9">
        <f>IF(管理者入力シート!$B$14=1,BU9*管理者用人口入力シート!AW$3,IF(管理者入力シート!$B$14=2,BU9*管理者用人口入力シート!AW$7))</f>
        <v>63.197903559025939</v>
      </c>
      <c r="BW12" s="9">
        <f>IF(管理者入力シート!$B$14=1,BV9*管理者用人口入力シート!AX$3,IF(管理者入力シート!$B$14=2,BV9*管理者用人口入力シート!AX$7))</f>
        <v>80.526552130614178</v>
      </c>
      <c r="BX12" s="9">
        <f>IF(管理者入力シート!$B$14=1,BW9*管理者用人口入力シート!AY$3,IF(管理者入力シート!$B$14=2,BW9*管理者用人口入力シート!AY$7))</f>
        <v>88.992655537015267</v>
      </c>
      <c r="BY12" s="9">
        <f>IF(管理者入力シート!$B$14=1,BX9*管理者用人口入力シート!AZ$3,IF(管理者入力シート!$B$14=2,BX9*管理者用人口入力シート!AZ$7))</f>
        <v>62.105704123187387</v>
      </c>
      <c r="BZ12" s="9">
        <f>IF(管理者入力シート!$B$14=1,BY9*管理者用人口入力シート!BA$3,IF(管理者入力シート!$B$14=2,BY9*管理者用人口入力シート!BA$7))</f>
        <v>73.755948303909761</v>
      </c>
      <c r="CA12" s="9">
        <f>IF(管理者入力シート!$B$14=1,BZ9*管理者用人口入力シート!BB$3,IF(管理者入力シート!$B$14=2,BZ9*管理者用人口入力シート!BB$7))</f>
        <v>77.652355722609968</v>
      </c>
      <c r="CB12" s="9">
        <f>IF(管理者入力シート!$B$14=1,CA9*管理者用人口入力シート!BC$3,IF(管理者入力シート!$B$14=2,CA9*管理者用人口入力シート!BC$7))</f>
        <v>67.796095956555433</v>
      </c>
      <c r="CC12" s="9">
        <f>IF(管理者入力シート!$B$14=1,CB9*管理者用人口入力シート!BD$3,IF(管理者入力シート!$B$14=2,CB9*管理者用人口入力シート!BD$7))</f>
        <v>29.299875555308898</v>
      </c>
      <c r="CD12" s="9">
        <f>IF(管理者入力シート!$B$14=1,CC9*管理者用人口入力シート!BE$3,IF(管理者入力シート!$B$14=2,CC9*管理者用人口入力シート!BE$7))</f>
        <v>8.7073162024132529</v>
      </c>
      <c r="CE12" s="9">
        <f>IF(管理者入力シート!$B$14=1,CD9*管理者用人口入力シート!BF$3,IF(管理者入力シート!$B$14=2,CD9*管理者用人口入力シート!BF$7))</f>
        <v>9.3372847110233925E-3</v>
      </c>
      <c r="CF12" s="9">
        <f t="shared" si="2"/>
        <v>775.64314947459377</v>
      </c>
      <c r="CG12" s="9">
        <f t="shared" si="20"/>
        <v>16.847715334797819</v>
      </c>
      <c r="CH12" s="9">
        <f t="shared" si="21"/>
        <v>10.024071543320545</v>
      </c>
      <c r="CI12" s="9">
        <f t="shared" si="3"/>
        <v>408.319288685711</v>
      </c>
      <c r="CJ12" s="9">
        <f t="shared" si="22"/>
        <v>257.22092902550833</v>
      </c>
      <c r="CK12" s="13">
        <f t="shared" si="23"/>
        <v>0.52642673239916948</v>
      </c>
      <c r="CL12" s="13">
        <f t="shared" si="24"/>
        <v>0.33162276905268229</v>
      </c>
      <c r="CM12" s="9">
        <f t="shared" si="25"/>
        <v>77.111036285446289</v>
      </c>
      <c r="CO12" s="7" t="str">
        <f t="shared" si="26"/>
        <v>2040_1</v>
      </c>
      <c r="CP12" s="28">
        <f>管理者入力シート!B11</f>
        <v>2040</v>
      </c>
      <c r="CQ12" s="3" t="s">
        <v>21</v>
      </c>
      <c r="CR12" s="9">
        <f>DT13*$AK$13+将来予測シート②!$G17</f>
        <v>12.170992702372534</v>
      </c>
      <c r="CS12" s="9">
        <f>IF(管理者入力シート!$B$14=1,CR9*管理者用人口入力シート!AM$3,IF(管理者入力シート!$B$14=2,CR9*管理者用人口入力シート!AM$7))+将来予測シート②!$G18</f>
        <v>14.409770475516185</v>
      </c>
      <c r="CT12" s="9">
        <f>IF(管理者入力シート!$B$14=1,CS9*管理者用人口入力シート!AN$3,IF(管理者入力シート!$B$14=2,CS9*管理者用人口入力シート!AN$7))+将来予測シート②!$G19</f>
        <v>18.399486874634896</v>
      </c>
      <c r="CU12" s="9">
        <f>IF(管理者入力シート!$B$14=1,CT9*管理者用人口入力シート!AO$3,IF(管理者入力シート!$B$14=2,CT9*管理者用人口入力シート!AO$7))+将来予測シート②!$G20</f>
        <v>20.50531730590291</v>
      </c>
      <c r="CV12" s="9">
        <f>IF(管理者入力シート!$B$14=1,CU9*管理者用人口入力シート!AP$3,IF(管理者入力シート!$B$14=2,CU9*管理者用人口入力シート!AP$7))+将来予測シート②!$G21</f>
        <v>17.177638373695533</v>
      </c>
      <c r="CW12" s="9">
        <f>IF(管理者入力シート!$B$14=1,CV9*管理者用人口入力シート!AQ$3,IF(管理者入力シート!$B$14=2,CV9*管理者用人口入力シート!AQ$7))+将来予測シート②!$G22</f>
        <v>20.037563894757174</v>
      </c>
      <c r="CX12" s="9">
        <f>IF(管理者入力シート!$B$14=1,CW9*管理者用人口入力シート!AR$3,IF(管理者入力シート!$B$14=2,CW9*管理者用人口入力シート!AR$7))+将来予測シート②!$G23</f>
        <v>20.951228130697256</v>
      </c>
      <c r="CY12" s="9">
        <f>IF(管理者入力シート!$B$14=1,CX9*管理者用人口入力シート!AS$3,IF(管理者入力シート!$B$14=2,CX9*管理者用人口入力シート!AS$7))+将来予測シート②!$G24</f>
        <v>25.204553872687448</v>
      </c>
      <c r="CZ12" s="9">
        <f>IF(管理者入力シート!$B$14=1,CY9*管理者用人口入力シート!AT$3,IF(管理者入力シート!$B$14=2,CY9*管理者用人口入力シート!AT$7))+将来予測シート②!$G25</f>
        <v>18.178804701663569</v>
      </c>
      <c r="DA12" s="9">
        <f>IF(管理者入力シート!$B$14=1,CZ9*管理者用人口入力シート!AU$3,IF(管理者入力シート!$B$14=2,CZ9*管理者用人口入力シート!AU$7))+将来予測シート②!$G26</f>
        <v>24.178557263274961</v>
      </c>
      <c r="DB12" s="9">
        <f>IF(管理者入力シート!$B$14=1,DA9*管理者用人口入力シート!AV$3,IF(管理者入力シート!$B$14=2,DA9*管理者用人口入力シート!AV$7))+将来予測シート②!$G27</f>
        <v>48.687610607306844</v>
      </c>
      <c r="DC12" s="9">
        <f>IF(管理者入力シート!$B$14=1,DB9*管理者用人口入力シート!AW$3,IF(管理者入力シート!$B$14=2,DB9*管理者用人口入力シート!AW$7))+将来予測シート②!$G28</f>
        <v>63.197903559025939</v>
      </c>
      <c r="DD12" s="9">
        <f>IF(管理者入力シート!$B$14=1,DC9*管理者用人口入力シート!AX$3,IF(管理者入力シート!$B$14=2,DC9*管理者用人口入力シート!AX$7))+将来予測シート②!$G29</f>
        <v>80.526552130614178</v>
      </c>
      <c r="DE12" s="9">
        <f>IF(管理者入力シート!$B$14=1,DD9*管理者用人口入力シート!AY$3,IF(管理者入力シート!$B$14=2,DD9*管理者用人口入力シート!AY$7))</f>
        <v>88.992655537015267</v>
      </c>
      <c r="DF12" s="9">
        <f>IF(管理者入力シート!$B$14=1,DE9*管理者用人口入力シート!AZ$3,IF(管理者入力シート!$B$14=2,DE9*管理者用人口入力シート!AZ$7))</f>
        <v>62.105704123187387</v>
      </c>
      <c r="DG12" s="9">
        <f>IF(管理者入力シート!$B$14=1,DF9*管理者用人口入力シート!BA$3,IF(管理者入力シート!$B$14=2,DF9*管理者用人口入力シート!BA$7))</f>
        <v>73.755948303909761</v>
      </c>
      <c r="DH12" s="9">
        <f>IF(管理者入力シート!$B$14=1,DG9*管理者用人口入力シート!BB$3,IF(管理者入力シート!$B$14=2,DG9*管理者用人口入力シート!BB$7))</f>
        <v>77.652355722609968</v>
      </c>
      <c r="DI12" s="9">
        <f>IF(管理者入力シート!$B$14=1,DH9*管理者用人口入力シート!BC$3,IF(管理者入力シート!$B$14=2,DH9*管理者用人口入力シート!BC$7))</f>
        <v>67.796095956555433</v>
      </c>
      <c r="DJ12" s="9">
        <f>IF(管理者入力シート!$B$14=1,DI9*管理者用人口入力シート!BD$3,IF(管理者入力シート!$B$14=2,DI9*管理者用人口入力シート!BD$7))</f>
        <v>29.299875555308898</v>
      </c>
      <c r="DK12" s="9">
        <f>IF(管理者入力シート!$B$14=1,DJ9*管理者用人口入力シート!BE$3,IF(管理者入力シート!$B$14=2,DJ9*管理者用人口入力シート!BE$7))</f>
        <v>8.7073162024132529</v>
      </c>
      <c r="DL12" s="9">
        <f>IF(管理者入力シート!$B$14=1,DK9*管理者用人口入力シート!BF$3,IF(管理者入力シート!$B$14=2,DK9*管理者用人口入力シート!BF$7))</f>
        <v>9.3372847110233925E-3</v>
      </c>
      <c r="DM12" s="9">
        <f t="shared" si="69"/>
        <v>791.94526857786036</v>
      </c>
      <c r="DN12" s="9">
        <f t="shared" si="34"/>
        <v>19.685554410090649</v>
      </c>
      <c r="DO12" s="9">
        <f t="shared" si="35"/>
        <v>11.460858211034541</v>
      </c>
      <c r="DP12" s="9">
        <f t="shared" si="6"/>
        <v>408.319288685711</v>
      </c>
      <c r="DQ12" s="9">
        <f t="shared" si="36"/>
        <v>257.22092902550833</v>
      </c>
      <c r="DR12" s="13">
        <f t="shared" si="37"/>
        <v>0.51559028746892122</v>
      </c>
      <c r="DS12" s="13">
        <f t="shared" si="38"/>
        <v>0.32479634544368713</v>
      </c>
      <c r="DT12" s="9">
        <f t="shared" si="70"/>
        <v>83.370984271837415</v>
      </c>
      <c r="DV12" s="211"/>
      <c r="DX12" s="28">
        <f>管理者入力シート!B11</f>
        <v>2040</v>
      </c>
      <c r="DY12" s="3" t="s">
        <v>21</v>
      </c>
      <c r="DZ12" s="9">
        <f>FB13*$AK$13</f>
        <v>46.323676234539093</v>
      </c>
      <c r="EA12" s="129">
        <f>IF(管理者入力シート!$B$14=1,DZ9*管理者用人口入力シート!AM$3,IF(管理者入力シート!$B$14=2,DZ9*管理者用人口入力シート!AM$7))</f>
        <v>50.438629689570007</v>
      </c>
      <c r="EB12" s="9">
        <f>IF(管理者入力シート!$B$14=1,EA9*管理者用人口入力シート!AN$3,IF(管理者入力シート!$B$14=2,EA9*管理者用人口入力シート!AN$7))</f>
        <v>49.95641295667528</v>
      </c>
      <c r="EC12" s="9">
        <f>IF(管理者入力シート!$B$14=1,EB9*管理者用人口入力シート!AO$3,IF(管理者入力シート!$B$14=2,EB9*管理者用人口入力シート!AO$7))</f>
        <v>18.799786814970862</v>
      </c>
      <c r="ED12" s="9">
        <f>IF(管理者入力シート!$B$14=1,EC9*管理者用人口入力シート!AP$3,IF(管理者入力シート!$B$14=2,EC9*管理者用人口入力シート!AP$7))</f>
        <v>16.676210250985548</v>
      </c>
      <c r="EE12" s="9">
        <f>IF(管理者入力シート!$B$14=1,ED9*管理者用人口入力シート!AQ$3,IF(管理者入力シート!$B$14=2,ED9*管理者用人口入力シート!AQ$7))+DX1</f>
        <v>59.694421422934511</v>
      </c>
      <c r="EF12" s="9">
        <f>IF(管理者入力シート!$B$14=1,EE9*管理者用人口入力シート!AR$3,IF(管理者入力シート!$B$14=2,EE9*管理者用人口入力シート!AR$7))+DX1</f>
        <v>98.242127107066096</v>
      </c>
      <c r="EG12" s="9">
        <f>IF(管理者入力シート!$B$14=1,EF9*管理者用人口入力シート!AS$3,IF(管理者入力シート!$B$14=2,EF9*管理者用人口入力シート!AS$7))+DX1</f>
        <v>139.51459826535574</v>
      </c>
      <c r="EH12" s="9">
        <f>IF(管理者入力シート!$B$14=1,EG9*管理者用人口入力シート!AT$3,IF(管理者入力シート!$B$14=2,EG9*管理者用人口入力シート!AT$7))</f>
        <v>132.82967230183749</v>
      </c>
      <c r="EI12" s="9">
        <f>IF(管理者入力シート!$B$14=1,EH9*管理者用人口入力シート!AU$3,IF(管理者入力シート!$B$14=2,EH9*管理者用人口入力シート!AU$7))</f>
        <v>102.88197773966959</v>
      </c>
      <c r="EJ12" s="9">
        <f>IF(管理者入力シート!$B$14=1,EI9*管理者用人口入力シート!AV$3,IF(管理者入力シート!$B$14=2,EI9*管理者用人口入力シート!AV$7))</f>
        <v>89.710191028369749</v>
      </c>
      <c r="EK12" s="9">
        <f>IF(管理者入力シート!$B$14=1,EJ9*管理者用人口入力シート!AW$3,IF(管理者入力シート!$B$14=2,EJ9*管理者用人口入力シート!AW$7))</f>
        <v>63.197903559025939</v>
      </c>
      <c r="EL12" s="9">
        <f>IF(管理者入力シート!$B$14=1,EK9*管理者用人口入力シート!AX$3,IF(管理者入力シート!$B$14=2,EK9*管理者用人口入力シート!AX$7))</f>
        <v>80.526552130614178</v>
      </c>
      <c r="EM12" s="9">
        <f>IF(管理者入力シート!$B$14=1,EL9*管理者用人口入力シート!AY$3,IF(管理者入力シート!$B$14=2,EL9*管理者用人口入力シート!AY$7))</f>
        <v>88.992655537015267</v>
      </c>
      <c r="EN12" s="9">
        <f>IF(管理者入力シート!$B$14=1,EM9*管理者用人口入力シート!AZ$3,IF(管理者入力シート!$B$14=2,EM9*管理者用人口入力シート!AZ$7))</f>
        <v>62.105704123187387</v>
      </c>
      <c r="EO12" s="9">
        <f>IF(管理者入力シート!$B$14=1,EN9*管理者用人口入力シート!BA$3,IF(管理者入力シート!$B$14=2,EN9*管理者用人口入力シート!BA$7))</f>
        <v>73.755948303909761</v>
      </c>
      <c r="EP12" s="9">
        <f>IF(管理者入力シート!$B$14=1,EO9*管理者用人口入力シート!BB$3,IF(管理者入力シート!$B$14=2,EO9*管理者用人口入力シート!BB$7))</f>
        <v>77.652355722609968</v>
      </c>
      <c r="EQ12" s="9">
        <f>IF(管理者入力シート!$B$14=1,EP9*管理者用人口入力シート!BC$3,IF(管理者入力シート!$B$14=2,EP9*管理者用人口入力シート!BC$7))</f>
        <v>67.796095956555433</v>
      </c>
      <c r="ER12" s="9">
        <f>IF(管理者入力シート!$B$14=1,EQ9*管理者用人口入力シート!BD$3,IF(管理者入力シート!$B$14=2,EQ9*管理者用人口入力シート!BD$7))</f>
        <v>29.299875555308898</v>
      </c>
      <c r="ES12" s="9">
        <f>IF(管理者入力シート!$B$14=1,ER9*管理者用人口入力シート!BE$3,IF(管理者入力シート!$B$14=2,ER9*管理者用人口入力シート!BE$7))</f>
        <v>8.7073162024132529</v>
      </c>
      <c r="ET12" s="9">
        <f>IF(管理者入力シート!$B$14=1,ES9*管理者用人口入力シート!BF$3,IF(管理者入力シート!$B$14=2,ES9*管理者用人口入力シート!BF$7))</f>
        <v>9.3372847110233925E-3</v>
      </c>
      <c r="EU12" s="9">
        <f t="shared" si="71"/>
        <v>1357.1114481873253</v>
      </c>
      <c r="EV12" s="9">
        <f t="shared" si="41"/>
        <v>60.237025587747169</v>
      </c>
      <c r="EW12" s="9">
        <f t="shared" si="42"/>
        <v>23.742522545664283</v>
      </c>
      <c r="EX12" s="9">
        <f t="shared" si="10"/>
        <v>408.319288685711</v>
      </c>
      <c r="EY12" s="9">
        <f t="shared" si="43"/>
        <v>257.22092902550833</v>
      </c>
      <c r="EZ12" s="13">
        <f t="shared" si="44"/>
        <v>0.30087380754992327</v>
      </c>
      <c r="FA12" s="13">
        <f t="shared" si="45"/>
        <v>0.18953559736680042</v>
      </c>
      <c r="FB12" s="9">
        <f t="shared" si="72"/>
        <v>314.1273570463419</v>
      </c>
    </row>
    <row r="13" spans="1:158" x14ac:dyDescent="0.15">
      <c r="A13" s="7" t="str">
        <f t="shared" si="11"/>
        <v>2020_2</v>
      </c>
      <c r="B13" s="29">
        <v>2020</v>
      </c>
      <c r="C13" s="4" t="s">
        <v>22</v>
      </c>
      <c r="D13" s="10">
        <v>38.239134572092951</v>
      </c>
      <c r="E13" s="10">
        <v>43.24346229070639</v>
      </c>
      <c r="F13" s="10">
        <v>46.245523697717175</v>
      </c>
      <c r="G13" s="10">
        <v>44.340319577664907</v>
      </c>
      <c r="H13" s="10">
        <v>32.231925159934157</v>
      </c>
      <c r="I13" s="10">
        <v>32.285650141668135</v>
      </c>
      <c r="J13" s="10">
        <v>60.363177909859573</v>
      </c>
      <c r="K13" s="10">
        <v>68.350216135367987</v>
      </c>
      <c r="L13" s="10">
        <v>74.439407986089648</v>
      </c>
      <c r="M13" s="10">
        <v>81.619488832087256</v>
      </c>
      <c r="N13" s="10">
        <v>71.424328233102131</v>
      </c>
      <c r="O13" s="10">
        <v>102.71594666645285</v>
      </c>
      <c r="P13" s="10">
        <v>160.10299774304275</v>
      </c>
      <c r="Q13" s="10">
        <v>185.1797052246996</v>
      </c>
      <c r="R13" s="10">
        <v>189.30394311046729</v>
      </c>
      <c r="S13" s="10">
        <v>142.89935142128618</v>
      </c>
      <c r="T13" s="10">
        <v>127.77361093896526</v>
      </c>
      <c r="U13" s="10">
        <v>125.71406599865541</v>
      </c>
      <c r="V13" s="10">
        <v>77.388405340036385</v>
      </c>
      <c r="W13" s="10">
        <v>27.124771862679623</v>
      </c>
      <c r="X13" s="10">
        <v>3.0145671574243007</v>
      </c>
      <c r="Y13" s="10">
        <f t="shared" si="177"/>
        <v>1733.9999999999998</v>
      </c>
      <c r="Z13" s="10">
        <f t="shared" ref="Z13:Z14" si="179">E13*3/5+F13*3/5</f>
        <v>53.693391593054137</v>
      </c>
      <c r="AA13" s="10">
        <f t="shared" ref="AA13:AA14" si="180">F13*2/5+G13*1/5</f>
        <v>27.366273394619853</v>
      </c>
      <c r="AB13" s="10">
        <f t="shared" si="178"/>
        <v>878.39842105421394</v>
      </c>
      <c r="AC13" s="10">
        <f t="shared" ref="AC13:AC14" si="181">SUM(S13:X13)</f>
        <v>503.91477271904722</v>
      </c>
      <c r="AD13" s="14">
        <f t="shared" ref="AD13:AD14" si="182">AB13/Y13</f>
        <v>0.50657348388362977</v>
      </c>
      <c r="AE13" s="14">
        <f t="shared" ref="AE13:AE14" si="183">AC13/Y13</f>
        <v>0.29060828876530986</v>
      </c>
      <c r="AF13" s="10">
        <f t="shared" ref="AF13:AF14" si="184">SUM(H13:K13)</f>
        <v>193.23096934682985</v>
      </c>
      <c r="AI13" s="60" t="s">
        <v>47</v>
      </c>
      <c r="AJ13" s="1" t="s">
        <v>21</v>
      </c>
      <c r="AK13" s="8">
        <f>VLOOKUP(AK12&amp;"_1",A:D,4,FALSE)/VLOOKUP(AK12&amp;"_2",A:AF,32,FALSE)</f>
        <v>0.15615963297940866</v>
      </c>
      <c r="AL13" s="63"/>
      <c r="BH13" s="7" t="str">
        <f t="shared" si="19"/>
        <v>2040_2</v>
      </c>
      <c r="BI13" s="29">
        <f>BI12</f>
        <v>2040</v>
      </c>
      <c r="BJ13" s="4" t="s">
        <v>22</v>
      </c>
      <c r="BK13" s="10">
        <f>CM13*$AK$14</f>
        <v>12.95109742739775</v>
      </c>
      <c r="BL13" s="10">
        <f>IF(管理者入力シート!$B$14=1,BK10*管理者用人口入力シート!AM$4,IF(管理者入力シート!$B$14=2,BK10*管理者用人口入力シート!AM$8))</f>
        <v>16.197418340554254</v>
      </c>
      <c r="BM13" s="10">
        <f>IF(管理者入力シート!$B$14=1,BL10*管理者用人口入力シート!AN$4,IF(管理者入力シート!$B$14=2,BL10*管理者用人口入力シート!AN$8))</f>
        <v>17.753198854267978</v>
      </c>
      <c r="BN13" s="10">
        <f>IF(管理者入力シート!$B$14=1,BM10*管理者用人口入力シート!AO$4,IF(管理者入力シート!$B$14=2,BM10*管理者用人口入力シート!AO$8))</f>
        <v>20.687475562298221</v>
      </c>
      <c r="BO13" s="10">
        <f>IF(管理者入力シート!$B$14=1,BN10*管理者用人口入力シート!AP$4,IF(管理者入力シート!$B$14=2,BN10*管理者用人口入力シート!AP$8))</f>
        <v>18.056123748367654</v>
      </c>
      <c r="BP13" s="10">
        <f>IF(管理者入力シート!$B$14=1,BO10*管理者用人口入力シート!AQ$4,IF(管理者入力シート!$B$14=2,BO10*管理者用人口入力シート!AQ$8))</f>
        <v>15.345671290097387</v>
      </c>
      <c r="BQ13" s="10">
        <f>IF(管理者入力シート!$B$14=1,BP10*管理者用人口入力シート!AR$4,IF(管理者入力シート!$B$14=2,BP10*管理者用人口入力シート!AR$8))</f>
        <v>15.345364415805161</v>
      </c>
      <c r="BR13" s="10">
        <f>IF(管理者入力シート!$B$14=1,BQ10*管理者用人口入力シート!AS$4,IF(管理者入力シート!$B$14=2,BQ10*管理者用人口入力シート!AS$8))</f>
        <v>16.697656125517348</v>
      </c>
      <c r="BS13" s="10">
        <f>IF(管理者入力シート!$B$14=1,BR10*管理者用人口入力シート!AT$4,IF(管理者入力シート!$B$14=2,BR10*管理者用人口入力シート!AT$8))</f>
        <v>19.725158231674655</v>
      </c>
      <c r="BT13" s="10">
        <f>IF(管理者入力シート!$B$14=1,BS10*管理者用人口入力シート!AU$4,IF(管理者入力シート!$B$14=2,BS10*管理者用人口入力シート!AU$8))</f>
        <v>23.314887618981228</v>
      </c>
      <c r="BU13" s="10">
        <f>IF(管理者入力シート!$B$14=1,BT10*管理者用人口入力シート!AV$4,IF(管理者入力シート!$B$14=2,BT10*管理者用人口入力シート!AV$8))</f>
        <v>52.279807416314512</v>
      </c>
      <c r="BV13" s="10">
        <f>IF(管理者入力シート!$B$14=1,BU10*管理者用人口入力シート!AW$4,IF(管理者入力シート!$B$14=2,BU10*管理者用人口入力シート!AW$8))</f>
        <v>67.537901899240964</v>
      </c>
      <c r="BW13" s="10">
        <f>IF(管理者入力シート!$B$14=1,BV10*管理者用人口入力シート!AX$4,IF(管理者入力シート!$B$14=2,BV10*管理者用人口入力シート!AX$8))</f>
        <v>74.280355395634189</v>
      </c>
      <c r="BX13" s="10">
        <f>IF(管理者入力シート!$B$14=1,BW10*管理者用人口入力シート!AY$4,IF(管理者入力シート!$B$14=2,BW10*管理者用人口入力シート!AY$8))</f>
        <v>81.092379324852701</v>
      </c>
      <c r="BY13" s="10">
        <f>IF(管理者入力シート!$B$14=1,BX10*管理者用人口入力シート!AZ$4,IF(管理者入力シート!$B$14=2,BX10*管理者用人口入力シート!AZ$8))</f>
        <v>68.032177995610922</v>
      </c>
      <c r="BZ13" s="10">
        <f>IF(管理者入力シート!$B$14=1,BY10*管理者用人口入力シート!BA$4,IF(管理者入力シート!$B$14=2,BY10*管理者用人口入力シート!BA$8))</f>
        <v>89.561767618628323</v>
      </c>
      <c r="CA13" s="10">
        <f>IF(管理者入力シート!$B$14=1,BZ10*管理者用人口入力シート!BB$4,IF(管理者入力シート!$B$14=2,BZ10*管理者用人口入力シート!BB$8))</f>
        <v>126.75300650782965</v>
      </c>
      <c r="CB13" s="10">
        <f>IF(管理者入力シート!$B$14=1,CA10*管理者用人口入力シート!BC$4,IF(管理者入力シート!$B$14=2,CA10*管理者用人口入力シート!BC$8))</f>
        <v>122.4787087012273</v>
      </c>
      <c r="CC13" s="10">
        <f>IF(管理者入力シート!$B$14=1,CB10*管理者用人口入力シート!BD$4,IF(管理者入力シート!$B$14=2,CB10*管理者用人口入力シート!BD$8))</f>
        <v>71.791792221735392</v>
      </c>
      <c r="CD13" s="10">
        <f>IF(管理者入力シート!$B$14=1,CC10*管理者用人口入力シート!BE$4,IF(管理者入力シート!$B$14=2,CC10*管理者用人口入力シート!BE$8))</f>
        <v>23.602995278638996</v>
      </c>
      <c r="CE13" s="10">
        <f>IF(管理者入力シート!$B$14=1,CD10*管理者用人口入力シート!BF$4,IF(管理者入力シート!$B$14=2,CD10*管理者用人口入力シート!BF$8))</f>
        <v>6.053403900555101</v>
      </c>
      <c r="CF13" s="10">
        <f t="shared" si="2"/>
        <v>959.53834787522976</v>
      </c>
      <c r="CG13" s="10">
        <f t="shared" si="20"/>
        <v>20.370370316893343</v>
      </c>
      <c r="CH13" s="10">
        <f t="shared" si="21"/>
        <v>11.238774654166836</v>
      </c>
      <c r="CI13" s="10">
        <f t="shared" si="3"/>
        <v>589.36623154907829</v>
      </c>
      <c r="CJ13" s="10">
        <f t="shared" si="22"/>
        <v>440.24167422861473</v>
      </c>
      <c r="CK13" s="14">
        <f t="shared" si="23"/>
        <v>0.614218527955815</v>
      </c>
      <c r="CL13" s="14">
        <f t="shared" si="24"/>
        <v>0.45880571131260306</v>
      </c>
      <c r="CM13" s="10">
        <f t="shared" si="25"/>
        <v>65.444815579787559</v>
      </c>
      <c r="CO13" s="7" t="str">
        <f t="shared" si="26"/>
        <v>2040_2</v>
      </c>
      <c r="CP13" s="29">
        <f>CP12</f>
        <v>2040</v>
      </c>
      <c r="CQ13" s="4" t="s">
        <v>22</v>
      </c>
      <c r="CR13" s="10">
        <f>DT13*$AK$14+将来予測シート②!$H17</f>
        <v>15.156448414416083</v>
      </c>
      <c r="CS13" s="10">
        <f>IF(管理者入力シート!$B$14=1,CR10*管理者用人口入力シート!AM$4,IF(管理者入力シート!$B$14=2,CR10*管理者用人口入力シート!AM$8))+将来予測シート②!$H18</f>
        <v>18.503867158745901</v>
      </c>
      <c r="CT13" s="10">
        <f>IF(管理者入力シート!$B$14=1,CS10*管理者用人口入力シート!AN$4,IF(管理者入力シート!$B$14=2,CS10*管理者用人口入力シート!AN$8))+将来予測シート②!$H19</f>
        <v>20.461337790729452</v>
      </c>
      <c r="CU13" s="10">
        <f>IF(管理者入力シート!$B$14=1,CT10*管理者用人口入力シート!AO$4,IF(管理者入力シート!$B$14=2,CT10*管理者用人口入力シート!AO$8))+将来予測シート②!$H20</f>
        <v>22.251493624110534</v>
      </c>
      <c r="CV13" s="10">
        <f>IF(管理者入力シート!$B$14=1,CU10*管理者用人口入力シート!AP$4,IF(管理者入力シート!$B$14=2,CU10*管理者用人口入力シート!AP$8))+将来予測シート②!$H21</f>
        <v>18.535039261103723</v>
      </c>
      <c r="CW13" s="10">
        <f>IF(管理者入力シート!$B$14=1,CV10*管理者用人口入力シート!AQ$4,IF(管理者入力シート!$B$14=2,CV10*管理者用人口入力シート!AQ$8))+将来予測シート②!$H22</f>
        <v>17.73574607014806</v>
      </c>
      <c r="CX13" s="10">
        <f>IF(管理者入力シート!$B$14=1,CW10*管理者用人口入力シート!AR$4,IF(管理者入力シート!$B$14=2,CW10*管理者用人口入力シート!AR$8))+将来予測シート②!$H23</f>
        <v>17.046698598636855</v>
      </c>
      <c r="CY13" s="10">
        <f>IF(管理者入力シート!$B$14=1,CX10*管理者用人口入力シート!AS$4,IF(管理者入力シート!$B$14=2,CX10*管理者用人口入力シート!AS$8))+将来予測シート②!$H24</f>
        <v>18.218241975957657</v>
      </c>
      <c r="CZ13" s="10">
        <f>IF(管理者入力シート!$B$14=1,CY10*管理者用人口入力シート!AT$4,IF(管理者入力シート!$B$14=2,CY10*管理者用人口入力シート!AT$8))+将来予測シート②!$H25</f>
        <v>22.227868582188393</v>
      </c>
      <c r="DA13" s="10">
        <f>IF(管理者入力シート!$B$14=1,CZ10*管理者用人口入力シート!AU$4,IF(管理者入力シート!$B$14=2,CZ10*管理者用人口入力シート!AU$8))+将来予測シート②!$H26</f>
        <v>24.276009596151042</v>
      </c>
      <c r="DB13" s="10">
        <f>IF(管理者入力シート!$B$14=1,DA10*管理者用人口入力シート!AV$4,IF(管理者入力シート!$B$14=2,DA10*管理者用人口入力シート!AV$8))+将来予測シート②!$H27</f>
        <v>53.260372068039864</v>
      </c>
      <c r="DC13" s="10">
        <f>IF(管理者入力シート!$B$14=1,DB10*管理者用人口入力シート!AW$4,IF(管理者入力シート!$B$14=2,DB10*管理者用人口入力シート!AW$8))+将来予測シート②!$H28</f>
        <v>68.537771442861342</v>
      </c>
      <c r="DD13" s="10">
        <f>IF(管理者入力シート!$B$14=1,DC10*管理者用人口入力シート!AX$4,IF(管理者入力シート!$B$14=2,DC10*管理者用人口入力シート!AX$8))+将来予測シート②!$H29</f>
        <v>74.280355395634189</v>
      </c>
      <c r="DE13" s="10">
        <f>IF(管理者入力シート!$B$14=1,DD10*管理者用人口入力シート!AY$4,IF(管理者入力シート!$B$14=2,DD10*管理者用人口入力シート!AY$8))</f>
        <v>81.092379324852701</v>
      </c>
      <c r="DF13" s="10">
        <f>IF(管理者入力シート!$B$14=1,DE10*管理者用人口入力シート!AZ$4,IF(管理者入力シート!$B$14=2,DE10*管理者用人口入力シート!AZ$8))</f>
        <v>68.032177995610922</v>
      </c>
      <c r="DG13" s="10">
        <f>IF(管理者入力シート!$B$14=1,DF10*管理者用人口入力シート!BA$4,IF(管理者入力シート!$B$14=2,DF10*管理者用人口入力シート!BA$8))</f>
        <v>89.561767618628323</v>
      </c>
      <c r="DH13" s="10">
        <f>IF(管理者入力シート!$B$14=1,DG10*管理者用人口入力シート!BB$4,IF(管理者入力シート!$B$14=2,DG10*管理者用人口入力シート!BB$8))</f>
        <v>126.75300650782965</v>
      </c>
      <c r="DI13" s="10">
        <f>IF(管理者入力シート!$B$14=1,DH10*管理者用人口入力シート!BC$4,IF(管理者入力シート!$B$14=2,DH10*管理者用人口入力シート!BC$8))</f>
        <v>122.4787087012273</v>
      </c>
      <c r="DJ13" s="10">
        <f>IF(管理者入力シート!$B$14=1,DI10*管理者用人口入力シート!BD$4,IF(管理者入力シート!$B$14=2,DI10*管理者用人口入力シート!BD$8))</f>
        <v>71.791792221735392</v>
      </c>
      <c r="DK13" s="10">
        <f>IF(管理者入力シート!$B$14=1,DJ10*管理者用人口入力シート!BE$4,IF(管理者入力シート!$B$14=2,DJ10*管理者用人口入力シート!BE$8))</f>
        <v>23.602995278638996</v>
      </c>
      <c r="DL13" s="10">
        <f>IF(管理者入力シート!$B$14=1,DK10*管理者用人口入力シート!BF$4,IF(管理者入力シート!$B$14=2,DK10*管理者用人口入力シート!BF$8))</f>
        <v>6.053403900555101</v>
      </c>
      <c r="DM13" s="10">
        <f t="shared" si="69"/>
        <v>979.8574815278015</v>
      </c>
      <c r="DN13" s="10">
        <f t="shared" si="34"/>
        <v>23.379122969685213</v>
      </c>
      <c r="DO13" s="10">
        <f t="shared" si="35"/>
        <v>12.634833841113887</v>
      </c>
      <c r="DP13" s="10">
        <f t="shared" si="6"/>
        <v>589.36623154907829</v>
      </c>
      <c r="DQ13" s="10">
        <f t="shared" si="36"/>
        <v>440.24167422861473</v>
      </c>
      <c r="DR13" s="14">
        <f t="shared" si="37"/>
        <v>0.60148158549561093</v>
      </c>
      <c r="DS13" s="14">
        <f t="shared" si="38"/>
        <v>0.44929153731845417</v>
      </c>
      <c r="DT13" s="10">
        <f t="shared" si="70"/>
        <v>71.535725905846292</v>
      </c>
      <c r="DV13" s="62"/>
      <c r="DX13" s="29">
        <f>DX12</f>
        <v>2040</v>
      </c>
      <c r="DY13" s="4" t="s">
        <v>22</v>
      </c>
      <c r="DZ13" s="10">
        <f>FB13*$AK$14</f>
        <v>58.703711518949291</v>
      </c>
      <c r="EA13" s="10">
        <f>IF(管理者入力シート!$B$14=1,DZ10*管理者用人口入力シート!AM$4,IF(管理者入力シート!$B$14=2,DZ10*管理者用人口入力シート!AM$8))</f>
        <v>65.783057462099862</v>
      </c>
      <c r="EB13" s="10">
        <f>IF(管理者入力シート!$B$14=1,EA10*管理者用人口入力シート!AN$4,IF(管理者入力シート!$B$14=2,EA10*管理者用人口入力シート!AN$8))</f>
        <v>56.632820394699571</v>
      </c>
      <c r="EC13" s="10">
        <f>IF(管理者入力シート!$B$14=1,EB10*管理者用人口入力シート!AO$4,IF(管理者入力シート!$B$14=2,EB10*管理者用人口入力シート!AO$8))</f>
        <v>20.687475562298221</v>
      </c>
      <c r="ED13" s="10">
        <f>IF(管理者入力シート!$B$14=1,EC10*管理者用人口入力シート!AP$4,IF(管理者入力シート!$B$14=2,EC10*管理者用人口入力シート!AP$8))</f>
        <v>18.056123748367654</v>
      </c>
      <c r="EE13" s="10">
        <f>IF(管理者入力シート!$B$14=1,ED10*管理者用人口入力シート!AQ$4,IF(管理者入力シート!$B$14=2,ED10*管理者用人口入力シート!AQ$8))+DX1</f>
        <v>57.345671290097386</v>
      </c>
      <c r="EF13" s="10">
        <f>IF(管理者入力シート!$B$14=1,EE10*管理者用人口入力シート!AR$4,IF(管理者入力シート!$B$14=2,EE10*管理者用人口入力シート!AR$8))+DX1</f>
        <v>93.07338225527073</v>
      </c>
      <c r="EG13" s="10">
        <f>IF(管理者入力シート!$B$14=1,EF10*管理者用人口入力シート!AS$4,IF(管理者入力シート!$B$14=2,EF10*管理者用人口入力シート!AS$8))+DX1</f>
        <v>128.16791382218258</v>
      </c>
      <c r="EH13" s="10">
        <f>IF(管理者入力シート!$B$14=1,EG10*管理者用人口入力シート!AT$4,IF(管理者入力シート!$B$14=2,EG10*管理者用人口入力シート!AT$8))</f>
        <v>129.8850087700105</v>
      </c>
      <c r="EI13" s="10">
        <f>IF(管理者入力シート!$B$14=1,EH10*管理者用人口入力シート!AU$4,IF(管理者入力シート!$B$14=2,EH10*管理者用人口入力シート!AU$8))</f>
        <v>98.861894165932483</v>
      </c>
      <c r="EJ13" s="10">
        <f>IF(管理者入力シート!$B$14=1,EI10*管理者用人口入力シート!AV$4,IF(管理者入力シート!$B$14=2,EI10*管理者用人口入力シート!AV$8))</f>
        <v>92.979380771475178</v>
      </c>
      <c r="EK13" s="10">
        <f>IF(管理者入力シート!$B$14=1,EJ10*管理者用人口入力シート!AW$4,IF(管理者入力シート!$B$14=2,EJ10*管理者用人口入力シート!AW$8))</f>
        <v>67.537901899240964</v>
      </c>
      <c r="EL13" s="10">
        <f>IF(管理者入力シート!$B$14=1,EK10*管理者用人口入力シート!AX$4,IF(管理者入力シート!$B$14=2,EK10*管理者用人口入力シート!AX$8))</f>
        <v>74.280355395634189</v>
      </c>
      <c r="EM13" s="10">
        <f>IF(管理者入力シート!$B$14=1,EL10*管理者用人口入力シート!AY$4,IF(管理者入力シート!$B$14=2,EL10*管理者用人口入力シート!AY$8))</f>
        <v>81.092379324852701</v>
      </c>
      <c r="EN13" s="10">
        <f>IF(管理者入力シート!$B$14=1,EM10*管理者用人口入力シート!AZ$4,IF(管理者入力シート!$B$14=2,EM10*管理者用人口入力シート!AZ$8))</f>
        <v>68.032177995610922</v>
      </c>
      <c r="EO13" s="10">
        <f>IF(管理者入力シート!$B$14=1,EN10*管理者用人口入力シート!BA$4,IF(管理者入力シート!$B$14=2,EN10*管理者用人口入力シート!BA$8))</f>
        <v>89.561767618628323</v>
      </c>
      <c r="EP13" s="10">
        <f>IF(管理者入力シート!$B$14=1,EO10*管理者用人口入力シート!BB$4,IF(管理者入力シート!$B$14=2,EO10*管理者用人口入力シート!BB$8))</f>
        <v>126.75300650782965</v>
      </c>
      <c r="EQ13" s="10">
        <f>IF(管理者入力シート!$B$14=1,EP10*管理者用人口入力シート!BC$4,IF(管理者入力シート!$B$14=2,EP10*管理者用人口入力シート!BC$8))</f>
        <v>122.4787087012273</v>
      </c>
      <c r="ER13" s="10">
        <f>IF(管理者入力シート!$B$14=1,EQ10*管理者用人口入力シート!BD$4,IF(管理者入力シート!$B$14=2,EQ10*管理者用人口入力シート!BD$8))</f>
        <v>71.791792221735392</v>
      </c>
      <c r="ES13" s="10">
        <f>IF(管理者入力シート!$B$14=1,ER10*管理者用人口入力シート!BE$4,IF(管理者入力シート!$B$14=2,ER10*管理者用人口入力シート!BE$8))</f>
        <v>23.602995278638996</v>
      </c>
      <c r="ET13" s="10">
        <f>IF(管理者入力シート!$B$14=1,ES10*管理者用人口入力シート!BF$4,IF(管理者入力シート!$B$14=2,ES10*管理者用人口入力シート!BF$8))</f>
        <v>6.053403900555101</v>
      </c>
      <c r="EU13" s="10">
        <f t="shared" si="71"/>
        <v>1551.3609286053374</v>
      </c>
      <c r="EV13" s="10">
        <f t="shared" si="41"/>
        <v>73.449526714079667</v>
      </c>
      <c r="EW13" s="10">
        <f t="shared" si="42"/>
        <v>26.790623270339474</v>
      </c>
      <c r="EX13" s="10">
        <f t="shared" si="10"/>
        <v>589.36623154907829</v>
      </c>
      <c r="EY13" s="10">
        <f t="shared" si="43"/>
        <v>440.24167422861473</v>
      </c>
      <c r="EZ13" s="14">
        <f t="shared" si="44"/>
        <v>0.37990271682226417</v>
      </c>
      <c r="FA13" s="14">
        <f t="shared" si="45"/>
        <v>0.28377772451984395</v>
      </c>
      <c r="FB13" s="10">
        <f t="shared" si="72"/>
        <v>296.64309111591837</v>
      </c>
    </row>
    <row r="14" spans="1:158" x14ac:dyDescent="0.15">
      <c r="A14" s="7" t="str">
        <f t="shared" si="11"/>
        <v>2020_3</v>
      </c>
      <c r="B14" s="30">
        <v>2020</v>
      </c>
      <c r="C14" s="5" t="s">
        <v>23</v>
      </c>
      <c r="D14" s="11">
        <v>68.414011825549267</v>
      </c>
      <c r="E14" s="11">
        <v>92.512093732962839</v>
      </c>
      <c r="F14" s="11">
        <v>109.62121343057433</v>
      </c>
      <c r="G14" s="11">
        <v>111.80967436539228</v>
      </c>
      <c r="H14" s="11">
        <v>61.396690251473494</v>
      </c>
      <c r="I14" s="11">
        <v>62.54217462443966</v>
      </c>
      <c r="J14" s="11">
        <v>113.64444047625996</v>
      </c>
      <c r="K14" s="11">
        <v>132.74448661075056</v>
      </c>
      <c r="L14" s="11">
        <v>157.93742545405385</v>
      </c>
      <c r="M14" s="11">
        <v>175.21348791388687</v>
      </c>
      <c r="N14" s="11">
        <v>145.95074363924357</v>
      </c>
      <c r="O14" s="11">
        <v>203.50993377726894</v>
      </c>
      <c r="P14" s="11">
        <v>300.11761076176651</v>
      </c>
      <c r="Q14" s="11">
        <v>371.43534408329469</v>
      </c>
      <c r="R14" s="11">
        <v>347.463627150359</v>
      </c>
      <c r="S14" s="11">
        <v>248.51202037954113</v>
      </c>
      <c r="T14" s="11">
        <v>212.37385117633804</v>
      </c>
      <c r="U14" s="11">
        <v>183.04365586080183</v>
      </c>
      <c r="V14" s="11">
        <v>111.57034553972014</v>
      </c>
      <c r="W14" s="11">
        <v>37.17260178889871</v>
      </c>
      <c r="X14" s="11">
        <v>3.0145671574243007</v>
      </c>
      <c r="Y14" s="11">
        <f t="shared" si="177"/>
        <v>3250.0000000000005</v>
      </c>
      <c r="Z14" s="11">
        <f t="shared" si="179"/>
        <v>121.2799842981223</v>
      </c>
      <c r="AA14" s="11">
        <f t="shared" si="180"/>
        <v>66.210420245308185</v>
      </c>
      <c r="AB14" s="11">
        <f t="shared" si="178"/>
        <v>1514.5860131363779</v>
      </c>
      <c r="AC14" s="11">
        <f t="shared" si="181"/>
        <v>795.6870419027241</v>
      </c>
      <c r="AD14" s="15">
        <f t="shared" si="182"/>
        <v>0.46602646558042393</v>
      </c>
      <c r="AE14" s="15">
        <f t="shared" si="183"/>
        <v>0.24482678212391507</v>
      </c>
      <c r="AF14" s="11">
        <f t="shared" si="184"/>
        <v>370.3277919629237</v>
      </c>
      <c r="AI14" s="43"/>
      <c r="AJ14" s="1" t="s">
        <v>22</v>
      </c>
      <c r="AK14" s="8">
        <f>VLOOKUP(AK12&amp;"_2",A:D,4,FALSE)/VLOOKUP(AK12&amp;"_2",A:AF,32,FALSE)</f>
        <v>0.19789340549991036</v>
      </c>
      <c r="AL14" s="63"/>
      <c r="BH14" s="7" t="str">
        <f t="shared" si="19"/>
        <v>2040_3</v>
      </c>
      <c r="BI14" s="30">
        <f>BI13</f>
        <v>2040</v>
      </c>
      <c r="BJ14" s="5" t="s">
        <v>23</v>
      </c>
      <c r="BK14" s="16">
        <f>BK12+BK13</f>
        <v>23.170935808742463</v>
      </c>
      <c r="BL14" s="16">
        <f t="shared" ref="BL14" si="185">BL12+BL13</f>
        <v>28.616658447734686</v>
      </c>
      <c r="BM14" s="16">
        <f t="shared" ref="BM14" si="186">BM12+BM13</f>
        <v>33.413484305083912</v>
      </c>
      <c r="BN14" s="16">
        <f t="shared" ref="BN14" si="187">BN12+BN13</f>
        <v>39.487262377269083</v>
      </c>
      <c r="BO14" s="16">
        <f t="shared" ref="BO14" si="188">BO12+BO13</f>
        <v>34.732333999353202</v>
      </c>
      <c r="BP14" s="16">
        <f t="shared" ref="BP14" si="189">BP12+BP13</f>
        <v>33.040092713031896</v>
      </c>
      <c r="BQ14" s="16">
        <f t="shared" ref="BQ14" si="190">BQ12+BQ13</f>
        <v>34.532047597683977</v>
      </c>
      <c r="BR14" s="16">
        <f t="shared" ref="BR14" si="191">BR12+BR13</f>
        <v>40.251377555164751</v>
      </c>
      <c r="BS14" s="16">
        <f t="shared" ref="BS14" si="192">BS12+BS13</f>
        <v>36.248208420577356</v>
      </c>
      <c r="BT14" s="16">
        <f t="shared" ref="BT14" si="193">BT12+BT13</f>
        <v>47.493444882256185</v>
      </c>
      <c r="BU14" s="16">
        <f t="shared" ref="BU14" si="194">BU12+BU13</f>
        <v>100.96741802362135</v>
      </c>
      <c r="BV14" s="16">
        <f t="shared" ref="BV14" si="195">BV12+BV13</f>
        <v>130.7358054582669</v>
      </c>
      <c r="BW14" s="16">
        <f t="shared" ref="BW14" si="196">BW12+BW13</f>
        <v>154.80690752624838</v>
      </c>
      <c r="BX14" s="16">
        <f t="shared" ref="BX14" si="197">BX12+BX13</f>
        <v>170.08503486186797</v>
      </c>
      <c r="BY14" s="16">
        <f t="shared" ref="BY14" si="198">BY12+BY13</f>
        <v>130.1378821187983</v>
      </c>
      <c r="BZ14" s="16">
        <f t="shared" ref="BZ14" si="199">BZ12+BZ13</f>
        <v>163.31771592253807</v>
      </c>
      <c r="CA14" s="16">
        <f t="shared" ref="CA14" si="200">CA12+CA13</f>
        <v>204.40536223043961</v>
      </c>
      <c r="CB14" s="16">
        <f t="shared" ref="CB14" si="201">CB12+CB13</f>
        <v>190.27480465778274</v>
      </c>
      <c r="CC14" s="16">
        <f t="shared" ref="CC14" si="202">CC12+CC13</f>
        <v>101.09166777704429</v>
      </c>
      <c r="CD14" s="16">
        <f t="shared" ref="CD14" si="203">CD12+CD13</f>
        <v>32.310311481052253</v>
      </c>
      <c r="CE14" s="16">
        <f t="shared" ref="CE14" si="204">CE12+CE13</f>
        <v>6.0627411852661242</v>
      </c>
      <c r="CF14" s="11">
        <f t="shared" si="2"/>
        <v>1735.1814973498233</v>
      </c>
      <c r="CG14" s="11">
        <f t="shared" si="20"/>
        <v>37.218085651691155</v>
      </c>
      <c r="CH14" s="11">
        <f t="shared" si="21"/>
        <v>21.262846197487381</v>
      </c>
      <c r="CI14" s="11">
        <f t="shared" si="3"/>
        <v>997.68552023478935</v>
      </c>
      <c r="CJ14" s="11">
        <f t="shared" si="22"/>
        <v>697.46260325412311</v>
      </c>
      <c r="CK14" s="15">
        <f t="shared" si="23"/>
        <v>0.57497473420421663</v>
      </c>
      <c r="CL14" s="15">
        <f t="shared" si="24"/>
        <v>0.40195368860224212</v>
      </c>
      <c r="CM14" s="11">
        <f t="shared" si="25"/>
        <v>142.55585186523382</v>
      </c>
      <c r="CO14" s="7" t="str">
        <f t="shared" si="26"/>
        <v>2040_3</v>
      </c>
      <c r="CP14" s="30">
        <f>CP13</f>
        <v>2040</v>
      </c>
      <c r="CQ14" s="5" t="s">
        <v>23</v>
      </c>
      <c r="CR14" s="16">
        <f>CR12+CR13</f>
        <v>27.327441116788616</v>
      </c>
      <c r="CS14" s="16">
        <f t="shared" ref="CS14" si="205">CS12+CS13</f>
        <v>32.913637634262088</v>
      </c>
      <c r="CT14" s="16">
        <f t="shared" ref="CT14" si="206">CT12+CT13</f>
        <v>38.860824665364348</v>
      </c>
      <c r="CU14" s="16">
        <f t="shared" ref="CU14" si="207">CU12+CU13</f>
        <v>42.756810930013444</v>
      </c>
      <c r="CV14" s="16">
        <f t="shared" ref="CV14" si="208">CV12+CV13</f>
        <v>35.712677634799256</v>
      </c>
      <c r="CW14" s="16">
        <f t="shared" ref="CW14" si="209">CW12+CW13</f>
        <v>37.773309964905238</v>
      </c>
      <c r="CX14" s="16">
        <f t="shared" ref="CX14" si="210">CX12+CX13</f>
        <v>37.997926729334111</v>
      </c>
      <c r="CY14" s="16">
        <f t="shared" ref="CY14" si="211">CY12+CY13</f>
        <v>43.422795848645109</v>
      </c>
      <c r="CZ14" s="16">
        <f t="shared" ref="CZ14" si="212">CZ12+CZ13</f>
        <v>40.406673283851958</v>
      </c>
      <c r="DA14" s="16">
        <f t="shared" ref="DA14" si="213">DA12+DA13</f>
        <v>48.454566859426002</v>
      </c>
      <c r="DB14" s="16">
        <f t="shared" ref="DB14" si="214">DB12+DB13</f>
        <v>101.94798267534671</v>
      </c>
      <c r="DC14" s="16">
        <f t="shared" ref="DC14" si="215">DC12+DC13</f>
        <v>131.73567500188727</v>
      </c>
      <c r="DD14" s="16">
        <f t="shared" ref="DD14" si="216">DD12+DD13</f>
        <v>154.80690752624838</v>
      </c>
      <c r="DE14" s="16">
        <f t="shared" ref="DE14" si="217">DE12+DE13</f>
        <v>170.08503486186797</v>
      </c>
      <c r="DF14" s="16">
        <f t="shared" ref="DF14" si="218">DF12+DF13</f>
        <v>130.1378821187983</v>
      </c>
      <c r="DG14" s="16">
        <f t="shared" ref="DG14" si="219">DG12+DG13</f>
        <v>163.31771592253807</v>
      </c>
      <c r="DH14" s="16">
        <f t="shared" ref="DH14" si="220">DH12+DH13</f>
        <v>204.40536223043961</v>
      </c>
      <c r="DI14" s="16">
        <f t="shared" ref="DI14" si="221">DI12+DI13</f>
        <v>190.27480465778274</v>
      </c>
      <c r="DJ14" s="16">
        <f t="shared" ref="DJ14" si="222">DJ12+DJ13</f>
        <v>101.09166777704429</v>
      </c>
      <c r="DK14" s="16">
        <f t="shared" ref="DK14" si="223">DK12+DK13</f>
        <v>32.310311481052253</v>
      </c>
      <c r="DL14" s="16">
        <f t="shared" ref="DL14" si="224">DL12+DL13</f>
        <v>6.0627411852661242</v>
      </c>
      <c r="DM14" s="11">
        <f t="shared" si="69"/>
        <v>1771.8027501056615</v>
      </c>
      <c r="DN14" s="11">
        <f t="shared" si="34"/>
        <v>43.064677379775858</v>
      </c>
      <c r="DO14" s="11">
        <f t="shared" si="35"/>
        <v>24.095692052148429</v>
      </c>
      <c r="DP14" s="11">
        <f t="shared" si="6"/>
        <v>997.68552023478935</v>
      </c>
      <c r="DQ14" s="11">
        <f t="shared" si="36"/>
        <v>697.46260325412311</v>
      </c>
      <c r="DR14" s="15">
        <f t="shared" si="37"/>
        <v>0.56309062629871887</v>
      </c>
      <c r="DS14" s="15">
        <f t="shared" si="38"/>
        <v>0.39364573918430251</v>
      </c>
      <c r="DT14" s="11">
        <f t="shared" si="70"/>
        <v>154.90671017768369</v>
      </c>
      <c r="DX14" s="30">
        <f>DX13</f>
        <v>2040</v>
      </c>
      <c r="DY14" s="5" t="s">
        <v>23</v>
      </c>
      <c r="DZ14" s="16">
        <f>DZ12+DZ13</f>
        <v>105.02738775348838</v>
      </c>
      <c r="EA14" s="16">
        <f t="shared" ref="EA14" si="225">EA12+EA13</f>
        <v>116.22168715166987</v>
      </c>
      <c r="EB14" s="16">
        <f t="shared" ref="EB14" si="226">EB12+EB13</f>
        <v>106.58923335137484</v>
      </c>
      <c r="EC14" s="16">
        <f t="shared" ref="EC14" si="227">EC12+EC13</f>
        <v>39.487262377269083</v>
      </c>
      <c r="ED14" s="16">
        <f t="shared" ref="ED14" si="228">ED12+ED13</f>
        <v>34.732333999353202</v>
      </c>
      <c r="EE14" s="16">
        <f t="shared" ref="EE14" si="229">EE12+EE13</f>
        <v>117.0400927130319</v>
      </c>
      <c r="EF14" s="16">
        <f t="shared" ref="EF14" si="230">EF12+EF13</f>
        <v>191.31550936233683</v>
      </c>
      <c r="EG14" s="16">
        <f t="shared" ref="EG14" si="231">EG12+EG13</f>
        <v>267.68251208753833</v>
      </c>
      <c r="EH14" s="16">
        <f t="shared" ref="EH14" si="232">EH12+EH13</f>
        <v>262.71468107184796</v>
      </c>
      <c r="EI14" s="16">
        <f t="shared" ref="EI14" si="233">EI12+EI13</f>
        <v>201.74387190560208</v>
      </c>
      <c r="EJ14" s="16">
        <f t="shared" ref="EJ14" si="234">EJ12+EJ13</f>
        <v>182.68957179984494</v>
      </c>
      <c r="EK14" s="16">
        <f t="shared" ref="EK14" si="235">EK12+EK13</f>
        <v>130.7358054582669</v>
      </c>
      <c r="EL14" s="16">
        <f t="shared" ref="EL14" si="236">EL12+EL13</f>
        <v>154.80690752624838</v>
      </c>
      <c r="EM14" s="16">
        <f t="shared" ref="EM14" si="237">EM12+EM13</f>
        <v>170.08503486186797</v>
      </c>
      <c r="EN14" s="16">
        <f t="shared" ref="EN14" si="238">EN12+EN13</f>
        <v>130.1378821187983</v>
      </c>
      <c r="EO14" s="16">
        <f t="shared" ref="EO14" si="239">EO12+EO13</f>
        <v>163.31771592253807</v>
      </c>
      <c r="EP14" s="16">
        <f t="shared" ref="EP14" si="240">EP12+EP13</f>
        <v>204.40536223043961</v>
      </c>
      <c r="EQ14" s="16">
        <f t="shared" ref="EQ14" si="241">EQ12+EQ13</f>
        <v>190.27480465778274</v>
      </c>
      <c r="ER14" s="16">
        <f t="shared" ref="ER14" si="242">ER12+ER13</f>
        <v>101.09166777704429</v>
      </c>
      <c r="ES14" s="16">
        <f t="shared" ref="ES14" si="243">ES12+ES13</f>
        <v>32.310311481052253</v>
      </c>
      <c r="ET14" s="16">
        <f t="shared" ref="ET14" si="244">ET12+ET13</f>
        <v>6.0627411852661242</v>
      </c>
      <c r="EU14" s="11">
        <f t="shared" si="71"/>
        <v>2908.4723767926616</v>
      </c>
      <c r="EV14" s="11">
        <f t="shared" si="41"/>
        <v>133.68655230182685</v>
      </c>
      <c r="EW14" s="11">
        <f t="shared" si="42"/>
        <v>50.533145816003753</v>
      </c>
      <c r="EX14" s="11">
        <f t="shared" si="10"/>
        <v>997.68552023478935</v>
      </c>
      <c r="EY14" s="11">
        <f t="shared" si="43"/>
        <v>697.46260325412311</v>
      </c>
      <c r="EZ14" s="15">
        <f t="shared" si="44"/>
        <v>0.34302733221588788</v>
      </c>
      <c r="FA14" s="15">
        <f t="shared" si="45"/>
        <v>0.23980375705794219</v>
      </c>
      <c r="FB14" s="11">
        <f t="shared" si="72"/>
        <v>610.77044816226021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8.4413930880052188</v>
      </c>
      <c r="BL15" s="9">
        <f>IF(管理者入力シート!$B$14=1,BK12*管理者用人口入力シート!AM$3,IF(管理者入力シート!$B$14=2,BK12*管理者用人口入力シート!AM$7))</f>
        <v>10.762069630085714</v>
      </c>
      <c r="BM15" s="9">
        <f>IF(管理者入力シート!$B$14=1,BL12*管理者用人口入力シート!AN$3,IF(管理者入力シート!$B$14=2,BL12*管理者用人口入力シート!AN$7))</f>
        <v>12.998295799614725</v>
      </c>
      <c r="BN15" s="9">
        <f>IF(管理者入力シート!$B$14=1,BM12*管理者用人口入力シート!AO$3,IF(管理者入力シート!$B$14=2,BM12*管理者用人口入力シート!AO$7))</f>
        <v>12.705570538083407</v>
      </c>
      <c r="BO15" s="9">
        <f>IF(管理者入力シート!$B$14=1,BN12*管理者用人口入力シート!AP$3,IF(管理者入力シート!$B$14=2,BN12*管理者用人口入力シート!AP$7))</f>
        <v>11.618956202944167</v>
      </c>
      <c r="BP15" s="9">
        <f>IF(管理者入力シート!$B$14=1,BO12*管理者用人口入力シート!AQ$3,IF(管理者入力シート!$B$14=2,BO12*管理者用人口入力シート!AQ$7))</f>
        <v>11.412036435513892</v>
      </c>
      <c r="BQ15" s="9">
        <f>IF(管理者入力シート!$B$14=1,BP12*管理者用人口入力シート!AR$3,IF(管理者入力シート!$B$14=2,BP12*管理者用人口入力シート!AR$7))</f>
        <v>15.611300972051959</v>
      </c>
      <c r="BR15" s="9">
        <f>IF(管理者入力シート!$B$14=1,BQ12*管理者用人口入力シート!AS$3,IF(管理者入力シート!$B$14=2,BQ12*管理者用人口入力シート!AS$7))</f>
        <v>17.95023645738555</v>
      </c>
      <c r="BS15" s="9">
        <f>IF(管理者入力シート!$B$14=1,BR12*管理者用人口入力シート!AT$3,IF(管理者入力シート!$B$14=2,BR12*管理者用人口入力シート!AT$7))</f>
        <v>23.623948459380426</v>
      </c>
      <c r="BT15" s="9">
        <f>IF(管理者入力シート!$B$14=1,BS12*管理者用人口入力シート!AU$3,IF(管理者入力シート!$B$14=2,BS12*管理者用人口入力シート!AU$7))</f>
        <v>15.94907915169609</v>
      </c>
      <c r="BU15" s="9">
        <f>IF(管理者入力シート!$B$14=1,BT12*管理者用人口入力シート!AV$3,IF(管理者入力シート!$B$14=2,BT12*管理者用人口入力シート!AV$7))</f>
        <v>24.393028553623431</v>
      </c>
      <c r="BV15" s="9">
        <f>IF(管理者入力シート!$B$14=1,BU12*管理者用人口入力シート!AW$3,IF(管理者入力シート!$B$14=2,BU12*管理者用人口入力シート!AW$7))</f>
        <v>48.92155144822592</v>
      </c>
      <c r="BW15" s="9">
        <f>IF(管理者入力シート!$B$14=1,BV12*管理者用人口入力シート!AX$3,IF(管理者入力シート!$B$14=2,BV12*管理者用人口入力シート!AX$7))</f>
        <v>62.287818385298472</v>
      </c>
      <c r="BX15" s="9">
        <f>IF(管理者入力シート!$B$14=1,BW12*管理者用人口入力シート!AY$3,IF(管理者入力シート!$B$14=2,BW12*管理者用人口入力シート!AY$7))</f>
        <v>76.635098046003719</v>
      </c>
      <c r="BY15" s="9">
        <f>IF(管理者入力シート!$B$14=1,BX12*管理者用人口入力シート!AZ$3,IF(管理者入力シート!$B$14=2,BX12*管理者用人口入力シート!AZ$7))</f>
        <v>78.687292551686738</v>
      </c>
      <c r="BZ15" s="9">
        <f>IF(管理者入力シート!$B$14=1,BY12*管理者用人口入力シート!BA$3,IF(管理者入力シート!$B$14=2,BY12*管理者用人口入力シート!BA$7))</f>
        <v>54.796701766543009</v>
      </c>
      <c r="CA15" s="9">
        <f>IF(管理者入力シート!$B$14=1,BZ12*管理者用人口入力シート!BB$3,IF(管理者入力シート!$B$14=2,BZ12*管理者用人口入力シート!BB$7))</f>
        <v>55.09552733218996</v>
      </c>
      <c r="CB15" s="9">
        <f>IF(管理者入力シート!$B$14=1,CA12*管理者用人口入力シート!BC$3,IF(管理者入力シート!$B$14=2,CA12*管理者用人口入力シート!BC$7))</f>
        <v>48.501730392858839</v>
      </c>
      <c r="CC15" s="9">
        <f>IF(管理者入力シート!$B$14=1,CB12*管理者用人口入力シート!BD$3,IF(管理者入力シート!$B$14=2,CB12*管理者用人口入力シート!BD$7))</f>
        <v>30.509132082663712</v>
      </c>
      <c r="CD15" s="9">
        <f>IF(管理者入力シート!$B$14=1,CC12*管理者用人口入力シート!BE$3,IF(管理者入力シート!$B$14=2,CC12*管理者用人口入力シート!BE$7))</f>
        <v>11.505010403897874</v>
      </c>
      <c r="CE15" s="9">
        <f>IF(管理者入力シート!$B$14=1,CD12*管理者用人口入力シート!BF$3,IF(管理者入力シート!$B$14=2,CD12*管理者用人口入力シート!BF$7))</f>
        <v>8.7073162024132525E-3</v>
      </c>
      <c r="CF15" s="9">
        <f t="shared" ref="CF15:CF20" si="252">SUM(BK15:CE15)</f>
        <v>632.41448501395519</v>
      </c>
      <c r="CG15" s="9">
        <f t="shared" ref="CG15:CG20" si="253">BL15*3/5+BM15*3/5</f>
        <v>14.256219257820263</v>
      </c>
      <c r="CH15" s="9">
        <f t="shared" ref="CH15:CH20" si="254">BM15*2/5+BN15*1/5</f>
        <v>7.7404324274625713</v>
      </c>
      <c r="CI15" s="9">
        <f t="shared" ref="CI15:CI20" si="255">SUM(BX15:CE15)</f>
        <v>355.73919989204626</v>
      </c>
      <c r="CJ15" s="9">
        <f t="shared" ref="CJ15:CJ20" si="256">SUM(BZ15:CE15)</f>
        <v>200.4168092943558</v>
      </c>
      <c r="CK15" s="13">
        <f t="shared" ref="CK15:CK20" si="257">CI15/CF15</f>
        <v>0.56250956978665079</v>
      </c>
      <c r="CL15" s="13">
        <f t="shared" ref="CL15:CL20" si="258">CJ15/CF15</f>
        <v>0.31690736699355215</v>
      </c>
      <c r="CM15" s="9">
        <f t="shared" ref="CM15:CM20" si="259">SUM(BO15:BR15)</f>
        <v>56.592530067895567</v>
      </c>
      <c r="CO15" s="7" t="str">
        <f t="shared" si="26"/>
        <v>2045_1</v>
      </c>
      <c r="CP15" s="28">
        <f>管理者入力シート!B12</f>
        <v>2045</v>
      </c>
      <c r="CQ15" s="3" t="s">
        <v>21</v>
      </c>
      <c r="CR15" s="9">
        <f>DT16*$AK$13+将来予測シート②!$G17</f>
        <v>10.518101851679495</v>
      </c>
      <c r="CS15" s="9">
        <f>IF(管理者入力シート!$B$14=1,CR12*管理者用人口入力シート!AM$3,IF(管理者入力シート!$B$14=2,CR12*管理者用人口入力シート!AM$7))+将来予測シート②!$G18</f>
        <v>12.81674582734091</v>
      </c>
      <c r="CT15" s="9">
        <f>IF(管理者入力シート!$B$14=1,CS12*管理者用人口入力シート!AN$3,IF(管理者入力シート!$B$14=2,CS12*管理者用人口入力シート!AN$7))+将来予測シート②!$G19</f>
        <v>16.081636028360677</v>
      </c>
      <c r="CU15" s="9">
        <f>IF(管理者入力シート!$B$14=1,CT12*管理者用人口入力シート!AO$3,IF(管理者入力シート!$B$14=2,CT12*管理者用人口入力シート!AO$7))+将来予測シート②!$G20</f>
        <v>14.927951286994789</v>
      </c>
      <c r="CV15" s="9">
        <f>IF(管理者入力シート!$B$14=1,CU12*管理者用人口入力シート!AP$3,IF(管理者入力シート!$B$14=2,CU12*管理者用人口入力シート!AP$7))+将来予測シート②!$G21</f>
        <v>12.673036457787529</v>
      </c>
      <c r="CW15" s="9">
        <f>IF(管理者入力シート!$B$14=1,CV12*管理者用人口入力シート!AQ$3,IF(管理者入力シート!$B$14=2,CV12*管理者用人口入力シート!AQ$7))+将来予測シート②!$G22</f>
        <v>13.75517890733656</v>
      </c>
      <c r="CX15" s="9">
        <f>IF(管理者入力シート!$B$14=1,CW12*管理者用人口入力シート!AR$3,IF(管理者入力シート!$B$14=2,CW12*管理者用人口入力シート!AR$7))+将来予測シート②!$G23</f>
        <v>17.678591078560281</v>
      </c>
      <c r="CY15" s="9">
        <f>IF(管理者入力シート!$B$14=1,CX12*管理者用人口入力シート!AS$3,IF(管理者入力シート!$B$14=2,CX12*管理者用人口入力シート!AS$7))+将来予測シート②!$G24</f>
        <v>19.601068900425592</v>
      </c>
      <c r="CZ15" s="9">
        <f>IF(管理者入力シート!$B$14=1,CY12*管理者用人口入力シート!AT$3,IF(管理者入力シート!$B$14=2,CY12*管理者用人口入力シート!AT$7))+将来予測シート②!$G25</f>
        <v>25.27970297214129</v>
      </c>
      <c r="DA15" s="9">
        <f>IF(管理者入力シート!$B$14=1,CZ12*管理者用人口入力シート!AU$3,IF(管理者入力シート!$B$14=2,CZ12*管理者用人口入力シート!AU$7))+将来予測シート②!$G26</f>
        <v>17.547316733612845</v>
      </c>
      <c r="DB15" s="9">
        <f>IF(管理者入力シート!$B$14=1,DA12*管理者用人口入力シート!AV$3,IF(管理者入力シート!$B$14=2,DA12*管理者用人口入力シート!AV$7))+将来予測シート②!$G27</f>
        <v>24.393028553623431</v>
      </c>
      <c r="DC15" s="9">
        <f>IF(管理者入力シート!$B$14=1,DB12*管理者用人口入力シート!AW$3,IF(管理者入力シート!$B$14=2,DB12*管理者用人口入力シート!AW$7))+将来予測シート②!$G28</f>
        <v>48.92155144822592</v>
      </c>
      <c r="DD15" s="9">
        <f>IF(管理者入力シート!$B$14=1,DC12*管理者用人口入力シート!AX$3,IF(管理者入力シート!$B$14=2,DC12*管理者用人口入力シート!AX$7))+将来予測シート②!$G29</f>
        <v>62.287818385298472</v>
      </c>
      <c r="DE15" s="9">
        <f>IF(管理者入力シート!$B$14=1,DD12*管理者用人口入力シート!AY$3,IF(管理者入力シート!$B$14=2,DD12*管理者用人口入力シート!AY$7))</f>
        <v>76.635098046003719</v>
      </c>
      <c r="DF15" s="9">
        <f>IF(管理者入力シート!$B$14=1,DE12*管理者用人口入力シート!AZ$3,IF(管理者入力シート!$B$14=2,DE12*管理者用人口入力シート!AZ$7))</f>
        <v>78.687292551686738</v>
      </c>
      <c r="DG15" s="9">
        <f>IF(管理者入力シート!$B$14=1,DF12*管理者用人口入力シート!BA$3,IF(管理者入力シート!$B$14=2,DF12*管理者用人口入力シート!BA$7))</f>
        <v>54.796701766543009</v>
      </c>
      <c r="DH15" s="9">
        <f>IF(管理者入力シート!$B$14=1,DG12*管理者用人口入力シート!BB$3,IF(管理者入力シート!$B$14=2,DG12*管理者用人口入力シート!BB$7))</f>
        <v>55.09552733218996</v>
      </c>
      <c r="DI15" s="9">
        <f>IF(管理者入力シート!$B$14=1,DH12*管理者用人口入力シート!BC$3,IF(管理者入力シート!$B$14=2,DH12*管理者用人口入力シート!BC$7))</f>
        <v>48.501730392858839</v>
      </c>
      <c r="DJ15" s="9">
        <f>IF(管理者入力シート!$B$14=1,DI12*管理者用人口入力シート!BD$3,IF(管理者入力シート!$B$14=2,DI12*管理者用人口入力シート!BD$7))</f>
        <v>30.509132082663712</v>
      </c>
      <c r="DK15" s="9">
        <f>IF(管理者入力シート!$B$14=1,DJ12*管理者用人口入力シート!BE$3,IF(管理者入力シート!$B$14=2,DJ12*管理者用人口入力シート!BE$7))</f>
        <v>11.505010403897874</v>
      </c>
      <c r="DL15" s="9">
        <f>IF(管理者入力シート!$B$14=1,DK12*管理者用人口入力シート!BF$3,IF(管理者入力シート!$B$14=2,DK12*管理者用人口入力シート!BF$7))</f>
        <v>8.7073162024132525E-3</v>
      </c>
      <c r="DM15" s="9">
        <f t="shared" ref="DM15:DM20" si="260">SUM(CR15:DL15)</f>
        <v>652.22092832343412</v>
      </c>
      <c r="DN15" s="9">
        <f t="shared" ref="DN15:DN20" si="261">CS15*3/5+CT15*3/5</f>
        <v>17.339029113420953</v>
      </c>
      <c r="DO15" s="9">
        <f t="shared" ref="DO15:DO20" si="262">CT15*2/5+CU15*1/5</f>
        <v>9.4182446687432293</v>
      </c>
      <c r="DP15" s="9">
        <f t="shared" ref="DP15:DP20" si="263">SUM(DE15:DL15)</f>
        <v>355.73919989204626</v>
      </c>
      <c r="DQ15" s="9">
        <f t="shared" ref="DQ15:DQ20" si="264">SUM(DG15:DL15)</f>
        <v>200.4168092943558</v>
      </c>
      <c r="DR15" s="13">
        <f t="shared" ref="DR15:DR20" si="265">DP15/DM15</f>
        <v>0.54542745325037534</v>
      </c>
      <c r="DS15" s="13">
        <f t="shared" ref="DS15:DS20" si="266">DQ15/DM15</f>
        <v>0.30728362214554666</v>
      </c>
      <c r="DT15" s="9">
        <f t="shared" ref="DT15:DT20" si="267">SUM(CV15:CY15)</f>
        <v>63.707875344109965</v>
      </c>
      <c r="DV15" s="62" t="s">
        <v>404</v>
      </c>
      <c r="DW15" s="210">
        <f>AK13+AK14</f>
        <v>0.35405303847931902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10.697361369753157</v>
      </c>
      <c r="BL16" s="10">
        <f>IF(管理者入力シート!$B$14=1,BK13*管理者用人口入力シート!AM$4,IF(管理者入力シート!$B$14=2,BK13*管理者用人口入力シート!AM$8))</f>
        <v>14.036103860161862</v>
      </c>
      <c r="BM16" s="10">
        <f>IF(管理者入力シート!$B$14=1,BL13*管理者用人口入力シート!AN$4,IF(管理者入力シート!$B$14=2,BL13*管理者用人口入力シート!AN$8))</f>
        <v>14.735448521797744</v>
      </c>
      <c r="BN16" s="10">
        <f>IF(管理者入力シート!$B$14=1,BM13*管理者用人口入力シート!AO$4,IF(管理者入力シート!$B$14=2,BM13*管理者用人口入力シート!AO$8))</f>
        <v>13.981338331046615</v>
      </c>
      <c r="BO16" s="10">
        <f>IF(管理者入力シート!$B$14=1,BN13*管理者用人口入力シート!AP$4,IF(管理者入力シート!$B$14=2,BN13*管理者用人口入力シート!AP$8))</f>
        <v>12.580394938042064</v>
      </c>
      <c r="BP16" s="10">
        <f>IF(管理者入力シート!$B$14=1,BO13*管理者用人口入力シート!AQ$4,IF(管理者入力シート!$B$14=2,BO13*管理者用人口入力シート!AQ$8))</f>
        <v>14.706640967785358</v>
      </c>
      <c r="BQ16" s="10">
        <f>IF(管理者入力シート!$B$14=1,BP13*管理者用人口入力シート!AR$4,IF(管理者入力シート!$B$14=2,BP13*管理者用人口入力シート!AR$8))</f>
        <v>13.054057562170811</v>
      </c>
      <c r="BR16" s="10">
        <f>IF(管理者入力シート!$B$14=1,BQ13*管理者用人口入力シート!AS$4,IF(管理者入力シート!$B$14=2,BQ13*管理者用人口入力シート!AS$8))</f>
        <v>13.715085628672082</v>
      </c>
      <c r="BS16" s="10">
        <f>IF(管理者入力シート!$B$14=1,BR13*管理者用人口入力シート!AT$4,IF(管理者入力シート!$B$14=2,BR13*管理者用人口入力シート!AT$8))</f>
        <v>16.501364051144083</v>
      </c>
      <c r="BT16" s="10">
        <f>IF(管理者入力シート!$B$14=1,BS13*管理者用人口入力シート!AU$4,IF(管理者入力シート!$B$14=2,BS13*管理者用人口入力シート!AU$8))</f>
        <v>18.958283079614624</v>
      </c>
      <c r="BU16" s="10">
        <f>IF(管理者入力シート!$B$14=1,BT13*管理者用人口入力シート!AV$4,IF(管理者入力シート!$B$14=2,BT13*管理者用人口入力シート!AV$8))</f>
        <v>23.786527830153585</v>
      </c>
      <c r="BV16" s="10">
        <f>IF(管理者入力シート!$B$14=1,BU13*管理者用人口入力シート!AW$4,IF(管理者入力シート!$B$14=2,BU13*管理者用人口入力シート!AW$8))</f>
        <v>53.309067474474318</v>
      </c>
      <c r="BW16" s="10">
        <f>IF(管理者入力シート!$B$14=1,BV13*管理者用人口入力シート!AX$4,IF(管理者入力シート!$B$14=2,BV13*管理者用人口入力シート!AX$8))</f>
        <v>67.402388634430579</v>
      </c>
      <c r="BX16" s="10">
        <f>IF(管理者入力シート!$B$14=1,BW13*管理者用人口入力シート!AY$4,IF(管理者入力シート!$B$14=2,BW13*管理者用人口入力シート!AY$8))</f>
        <v>71.083301596928351</v>
      </c>
      <c r="BY16" s="10">
        <f>IF(管理者入力シート!$B$14=1,BX13*管理者用人口入力シート!AZ$4,IF(管理者入力シート!$B$14=2,BX13*管理者用人口入力シート!AZ$8))</f>
        <v>79.315817760843927</v>
      </c>
      <c r="BZ16" s="10">
        <f>IF(管理者入力シート!$B$14=1,BY13*管理者用人口入力シート!BA$4,IF(管理者入力シート!$B$14=2,BY13*管理者用人口入力シート!BA$8))</f>
        <v>63.503557317769264</v>
      </c>
      <c r="CA16" s="10">
        <f>IF(管理者入力シート!$B$14=1,BZ13*管理者用人口入力シート!BB$4,IF(管理者入力シート!$B$14=2,BZ13*管理者用人口入力シート!BB$8))</f>
        <v>81.156704110437133</v>
      </c>
      <c r="CB16" s="10">
        <f>IF(管理者入力シート!$B$14=1,CA13*管理者用人口入力シート!BC$4,IF(管理者入力シート!$B$14=2,CA13*管理者用人口入力シート!BC$8))</f>
        <v>101.33519146668681</v>
      </c>
      <c r="CC16" s="10">
        <f>IF(管理者入力シート!$B$14=1,CB13*管理者用人口入力シート!BD$4,IF(管理者入力シート!$B$14=2,CB13*管理者用人口入力シート!BD$8))</f>
        <v>68.689172830550916</v>
      </c>
      <c r="CD16" s="10">
        <f>IF(管理者入力シート!$B$14=1,CC13*管理者用人口入力シート!BE$4,IF(管理者入力シート!$B$14=2,CC13*管理者用人口入力シート!BE$8))</f>
        <v>29.186377904249039</v>
      </c>
      <c r="CE16" s="10">
        <f>IF(管理者入力シート!$B$14=1,CD13*管理者用人口入力シート!BF$4,IF(管理者入力シート!$B$14=2,CD13*管理者用人口入力シート!BF$8))</f>
        <v>6.1346598406531552</v>
      </c>
      <c r="CF16" s="10">
        <f t="shared" si="252"/>
        <v>787.86884507736545</v>
      </c>
      <c r="CG16" s="10">
        <f t="shared" si="253"/>
        <v>17.262931429175765</v>
      </c>
      <c r="CH16" s="10">
        <f t="shared" si="254"/>
        <v>8.6904470749284215</v>
      </c>
      <c r="CI16" s="10">
        <f t="shared" si="255"/>
        <v>500.40478282811858</v>
      </c>
      <c r="CJ16" s="10">
        <f t="shared" si="256"/>
        <v>350.00566347034629</v>
      </c>
      <c r="CK16" s="14">
        <f t="shared" si="257"/>
        <v>0.63513716268217324</v>
      </c>
      <c r="CL16" s="14">
        <f t="shared" si="258"/>
        <v>0.44424356370631357</v>
      </c>
      <c r="CM16" s="10">
        <f t="shared" si="259"/>
        <v>54.05617909667032</v>
      </c>
      <c r="CO16" s="7" t="str">
        <f t="shared" si="26"/>
        <v>2045_2</v>
      </c>
      <c r="CP16" s="29">
        <f>CP15</f>
        <v>2045</v>
      </c>
      <c r="CQ16" s="4" t="s">
        <v>22</v>
      </c>
      <c r="CR16" s="10">
        <f>DT16*$AK$14+将来予測シート②!$H17</f>
        <v>13.061821313144524</v>
      </c>
      <c r="CS16" s="10">
        <f>IF(管理者入力シート!$B$14=1,CR13*管理者用人口入力シート!AM$4,IF(管理者入力シート!$B$14=2,CR13*管理者用人口入力シート!AM$8))+将来予測シート②!$H18</f>
        <v>16.426212935892867</v>
      </c>
      <c r="CT16" s="10">
        <f>IF(管理者入力シート!$B$14=1,CS13*管理者用人口入力シート!AN$4,IF(管理者入力シート!$B$14=2,CS13*管理者用人口入力シート!AN$8))+将来予測シート②!$H19</f>
        <v>17.833718574101727</v>
      </c>
      <c r="CU16" s="10">
        <f>IF(管理者入力シート!$B$14=1,CT13*管理者用人口入力シート!AO$4,IF(管理者入力シート!$B$14=2,CT13*管理者用人口入力シート!AO$8))+将来予測シート②!$H20</f>
        <v>16.114103644439474</v>
      </c>
      <c r="CV16" s="10">
        <f>IF(管理者入力シート!$B$14=1,CU13*管理者用人口入力シート!AP$4,IF(管理者入力シート!$B$14=2,CU13*管理者用人口入力シート!AP$8))+将来予測シート②!$H21</f>
        <v>13.531500105445298</v>
      </c>
      <c r="CW16" s="10">
        <f>IF(管理者入力シート!$B$14=1,CV13*管理者用人口入力シート!AQ$4,IF(管理者入力シート!$B$14=2,CV13*管理者用人口入力シート!AQ$8))+将来予測シート②!$H22</f>
        <v>17.096715747836029</v>
      </c>
      <c r="CX16" s="10">
        <f>IF(管理者入力シート!$B$14=1,CW13*管理者用人口入力シート!AR$4,IF(管理者入力シート!$B$14=2,CW13*管理者用人口入力シート!AR$8))+将来予測シート②!$H23</f>
        <v>15.087215523582888</v>
      </c>
      <c r="CY16" s="10">
        <f>IF(管理者入力シート!$B$14=1,CX13*管理者用人口入力シート!AS$4,IF(管理者入力シート!$B$14=2,CX13*管理者用人口入力シート!AS$8))+将来予測シート②!$H24</f>
        <v>15.235671479112389</v>
      </c>
      <c r="CZ16" s="10">
        <f>IF(管理者入力シート!$B$14=1,CY13*管理者用人口入力シート!AT$4,IF(管理者入力シート!$B$14=2,CY13*管理者用人口入力シート!AT$8))+将来予測シート②!$H25</f>
        <v>19.004074401657824</v>
      </c>
      <c r="DA16" s="10">
        <f>IF(管理者入力シート!$B$14=1,CZ13*管理者用人口入力シート!AU$4,IF(管理者入力シート!$B$14=2,CZ13*管理者用人口入力シート!AU$8))+将来予測シート②!$H26</f>
        <v>21.363692999983751</v>
      </c>
      <c r="DB16" s="10">
        <f>IF(管理者入力シート!$B$14=1,DA13*管理者用人口入力シート!AV$4,IF(管理者入力シート!$B$14=2,DA13*管理者用人口入力シート!AV$8))+将来予測シート②!$H27</f>
        <v>24.767092481878937</v>
      </c>
      <c r="DC16" s="10">
        <f>IF(管理者入力シート!$B$14=1,DB13*管理者用人口入力シート!AW$4,IF(管理者入力シート!$B$14=2,DB13*管理者用人口入力シート!AW$8))+将来予測シート②!$H28</f>
        <v>54.308937018094689</v>
      </c>
      <c r="DD16" s="10">
        <f>IF(管理者入力シート!$B$14=1,DC13*管理者用人口入力シート!AX$4,IF(管理者入力シート!$B$14=2,DC13*管理者用人口入力シート!AX$8))+将来予測シート②!$H29</f>
        <v>68.400251962541887</v>
      </c>
      <c r="DE16" s="10">
        <f>IF(管理者入力シート!$B$14=1,DD13*管理者用人口入力シート!AY$4,IF(管理者入力シート!$B$14=2,DD13*管理者用人口入力シート!AY$8))</f>
        <v>71.083301596928351</v>
      </c>
      <c r="DF16" s="10">
        <f>IF(管理者入力シート!$B$14=1,DE13*管理者用人口入力シート!AZ$4,IF(管理者入力シート!$B$14=2,DE13*管理者用人口入力シート!AZ$8))</f>
        <v>79.315817760843927</v>
      </c>
      <c r="DG16" s="10">
        <f>IF(管理者入力シート!$B$14=1,DF13*管理者用人口入力シート!BA$4,IF(管理者入力シート!$B$14=2,DF13*管理者用人口入力シート!BA$8))</f>
        <v>63.503557317769264</v>
      </c>
      <c r="DH16" s="10">
        <f>IF(管理者入力シート!$B$14=1,DG13*管理者用人口入力シート!BB$4,IF(管理者入力シート!$B$14=2,DG13*管理者用人口入力シート!BB$8))</f>
        <v>81.156704110437133</v>
      </c>
      <c r="DI16" s="10">
        <f>IF(管理者入力シート!$B$14=1,DH13*管理者用人口入力シート!BC$4,IF(管理者入力シート!$B$14=2,DH13*管理者用人口入力シート!BC$8))</f>
        <v>101.33519146668681</v>
      </c>
      <c r="DJ16" s="10">
        <f>IF(管理者入力シート!$B$14=1,DI13*管理者用人口入力シート!BD$4,IF(管理者入力シート!$B$14=2,DI13*管理者用人口入力シート!BD$8))</f>
        <v>68.689172830550916</v>
      </c>
      <c r="DK16" s="10">
        <f>IF(管理者入力シート!$B$14=1,DJ13*管理者用人口入力シート!BE$4,IF(管理者入力シート!$B$14=2,DJ13*管理者用人口入力シート!BE$8))</f>
        <v>29.186377904249039</v>
      </c>
      <c r="DL16" s="10">
        <f>IF(管理者入力シート!$B$14=1,DK13*管理者用人口入力シート!BF$4,IF(管理者入力シート!$B$14=2,DK13*管理者用人口入力シート!BF$8))</f>
        <v>6.1346598406531552</v>
      </c>
      <c r="DM16" s="10">
        <f t="shared" si="260"/>
        <v>812.63579101583082</v>
      </c>
      <c r="DN16" s="10">
        <f t="shared" si="261"/>
        <v>20.555958905996761</v>
      </c>
      <c r="DO16" s="10">
        <f t="shared" si="262"/>
        <v>10.356308158528586</v>
      </c>
      <c r="DP16" s="10">
        <f t="shared" si="263"/>
        <v>500.40478282811858</v>
      </c>
      <c r="DQ16" s="10">
        <f t="shared" si="264"/>
        <v>350.00566347034629</v>
      </c>
      <c r="DR16" s="14">
        <f t="shared" si="265"/>
        <v>0.61577989593910254</v>
      </c>
      <c r="DS16" s="14">
        <f t="shared" si="266"/>
        <v>0.43070421871626363</v>
      </c>
      <c r="DT16" s="10">
        <f t="shared" si="267"/>
        <v>60.951102855976607</v>
      </c>
      <c r="DV16" s="211" t="s">
        <v>406</v>
      </c>
      <c r="DW16" s="7">
        <f>IF(DW10&lt;0,ABS(DW10)/DW15,0)</f>
        <v>91.094736291740432</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19.138754457758374</v>
      </c>
      <c r="BL17" s="16">
        <f t="shared" ref="BL17:CE17" si="268">BL15+BL16</f>
        <v>24.798173490247578</v>
      </c>
      <c r="BM17" s="16">
        <f t="shared" si="268"/>
        <v>27.73374432141247</v>
      </c>
      <c r="BN17" s="16">
        <f t="shared" si="268"/>
        <v>26.686908869130022</v>
      </c>
      <c r="BO17" s="16">
        <f t="shared" si="268"/>
        <v>24.199351140986231</v>
      </c>
      <c r="BP17" s="16">
        <f t="shared" si="268"/>
        <v>26.118677403299252</v>
      </c>
      <c r="BQ17" s="16">
        <f t="shared" si="268"/>
        <v>28.665358534222769</v>
      </c>
      <c r="BR17" s="16">
        <f t="shared" si="268"/>
        <v>31.665322086057632</v>
      </c>
      <c r="BS17" s="16">
        <f t="shared" si="268"/>
        <v>40.125312510524509</v>
      </c>
      <c r="BT17" s="16">
        <f t="shared" si="268"/>
        <v>34.907362231310714</v>
      </c>
      <c r="BU17" s="16">
        <f t="shared" si="268"/>
        <v>48.179556383777012</v>
      </c>
      <c r="BV17" s="16">
        <f t="shared" si="268"/>
        <v>102.23061892270024</v>
      </c>
      <c r="BW17" s="16">
        <f t="shared" si="268"/>
        <v>129.69020701972906</v>
      </c>
      <c r="BX17" s="16">
        <f t="shared" si="268"/>
        <v>147.71839964293207</v>
      </c>
      <c r="BY17" s="16">
        <f t="shared" si="268"/>
        <v>158.00311031253068</v>
      </c>
      <c r="BZ17" s="16">
        <f t="shared" si="268"/>
        <v>118.30025908431227</v>
      </c>
      <c r="CA17" s="16">
        <f t="shared" si="268"/>
        <v>136.25223144262708</v>
      </c>
      <c r="CB17" s="16">
        <f t="shared" si="268"/>
        <v>149.83692185954564</v>
      </c>
      <c r="CC17" s="16">
        <f t="shared" si="268"/>
        <v>99.198304913214628</v>
      </c>
      <c r="CD17" s="16">
        <f t="shared" si="268"/>
        <v>40.691388308146912</v>
      </c>
      <c r="CE17" s="16">
        <f t="shared" si="268"/>
        <v>6.1433671568555681</v>
      </c>
      <c r="CF17" s="11">
        <f t="shared" si="252"/>
        <v>1420.283330091321</v>
      </c>
      <c r="CG17" s="11">
        <f t="shared" si="253"/>
        <v>31.519150686996028</v>
      </c>
      <c r="CH17" s="11">
        <f t="shared" si="254"/>
        <v>16.430879502390994</v>
      </c>
      <c r="CI17" s="11">
        <f t="shared" si="255"/>
        <v>856.14398272016479</v>
      </c>
      <c r="CJ17" s="11">
        <f t="shared" si="256"/>
        <v>550.42247276470209</v>
      </c>
      <c r="CK17" s="15">
        <f t="shared" si="257"/>
        <v>0.60279802246578273</v>
      </c>
      <c r="CL17" s="15">
        <f t="shared" si="258"/>
        <v>0.38754413369712026</v>
      </c>
      <c r="CM17" s="11">
        <f t="shared" si="259"/>
        <v>110.64870916456589</v>
      </c>
      <c r="CO17" s="7" t="str">
        <f t="shared" si="26"/>
        <v>2045_3</v>
      </c>
      <c r="CP17" s="30">
        <f>CP16</f>
        <v>2045</v>
      </c>
      <c r="CQ17" s="5" t="s">
        <v>23</v>
      </c>
      <c r="CR17" s="16">
        <f>CR15+CR16</f>
        <v>23.579923164824017</v>
      </c>
      <c r="CS17" s="16">
        <f>CS15+CS16</f>
        <v>29.242958763233776</v>
      </c>
      <c r="CT17" s="16">
        <f t="shared" ref="CT17:DL17" si="269">CT15+CT16</f>
        <v>33.915354602462401</v>
      </c>
      <c r="CU17" s="16">
        <f t="shared" si="269"/>
        <v>31.042054931434265</v>
      </c>
      <c r="CV17" s="16">
        <f t="shared" si="269"/>
        <v>26.204536563232828</v>
      </c>
      <c r="CW17" s="16">
        <f t="shared" si="269"/>
        <v>30.85189465517259</v>
      </c>
      <c r="CX17" s="16">
        <f t="shared" si="269"/>
        <v>32.765806602143172</v>
      </c>
      <c r="CY17" s="16">
        <f t="shared" si="269"/>
        <v>34.836740379537979</v>
      </c>
      <c r="CZ17" s="16">
        <f t="shared" si="269"/>
        <v>44.283777373799111</v>
      </c>
      <c r="DA17" s="16">
        <f t="shared" si="269"/>
        <v>38.9110097335966</v>
      </c>
      <c r="DB17" s="16">
        <f t="shared" si="269"/>
        <v>49.160121035502371</v>
      </c>
      <c r="DC17" s="16">
        <f t="shared" si="269"/>
        <v>103.23048846632061</v>
      </c>
      <c r="DD17" s="16">
        <f t="shared" si="269"/>
        <v>130.68807034784035</v>
      </c>
      <c r="DE17" s="16">
        <f t="shared" si="269"/>
        <v>147.71839964293207</v>
      </c>
      <c r="DF17" s="16">
        <f t="shared" si="269"/>
        <v>158.00311031253068</v>
      </c>
      <c r="DG17" s="16">
        <f t="shared" si="269"/>
        <v>118.30025908431227</v>
      </c>
      <c r="DH17" s="16">
        <f t="shared" si="269"/>
        <v>136.25223144262708</v>
      </c>
      <c r="DI17" s="16">
        <f t="shared" si="269"/>
        <v>149.83692185954564</v>
      </c>
      <c r="DJ17" s="16">
        <f t="shared" si="269"/>
        <v>99.198304913214628</v>
      </c>
      <c r="DK17" s="16">
        <f t="shared" si="269"/>
        <v>40.691388308146912</v>
      </c>
      <c r="DL17" s="16">
        <f t="shared" si="269"/>
        <v>6.1433671568555681</v>
      </c>
      <c r="DM17" s="11">
        <f t="shared" si="260"/>
        <v>1464.8567193392651</v>
      </c>
      <c r="DN17" s="11">
        <f t="shared" si="261"/>
        <v>37.89498801941771</v>
      </c>
      <c r="DO17" s="11">
        <f t="shared" si="262"/>
        <v>19.774552827271812</v>
      </c>
      <c r="DP17" s="11">
        <f t="shared" si="263"/>
        <v>856.14398272016479</v>
      </c>
      <c r="DQ17" s="11">
        <f t="shared" si="264"/>
        <v>550.42247276470209</v>
      </c>
      <c r="DR17" s="15">
        <f t="shared" si="265"/>
        <v>0.58445578425331257</v>
      </c>
      <c r="DS17" s="15">
        <f t="shared" si="266"/>
        <v>0.37575174793407401</v>
      </c>
      <c r="DT17" s="11">
        <f t="shared" si="267"/>
        <v>124.65897820008658</v>
      </c>
      <c r="DV17" s="62" t="s">
        <v>407</v>
      </c>
      <c r="DW17" s="7">
        <f>IF(DW9&gt;=0,0,IF(AND(DW10&lt;=0,DW9&lt;=0,DW16*2&gt;=ABS(DW9)),ROUND(DW16/3,0),ROUND(ABS(DW9)/6,0)))</f>
        <v>42</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6.7034059701888147</v>
      </c>
      <c r="BL18" s="9">
        <f>IF(管理者入力シート!$B$14=1,BK15*管理者用人口入力シート!AM$3,IF(管理者入力シート!$B$14=2,BK15*管理者用人口入力シート!AM$7))</f>
        <v>8.889265837497808</v>
      </c>
      <c r="BM18" s="9">
        <f>IF(管理者入力シート!$B$14=1,BL15*管理者用人口入力シート!AN$3,IF(管理者入力シート!$B$14=2,BL15*管理者用人口入力シート!AN$7))</f>
        <v>11.263858598484214</v>
      </c>
      <c r="BN18" s="9">
        <f>IF(管理者入力シート!$B$14=1,BM15*管理者用人口入力シート!AO$3,IF(管理者入力シート!$B$14=2,BM15*管理者用人口入力シート!AO$7))</f>
        <v>10.545833578549072</v>
      </c>
      <c r="BO18" s="9">
        <f>IF(管理者入力シート!$B$14=1,BN15*管理者用人口入力シート!AP$3,IF(管理者入力シート!$B$14=2,BN15*管理者用人口入力シート!AP$7))</f>
        <v>7.852507534705131</v>
      </c>
      <c r="BP18" s="9">
        <f>IF(管理者入力シート!$B$14=1,BO15*管理者用人口入力シート!AQ$3,IF(管理者入力シート!$B$14=2,BO15*管理者用人口入力シート!AQ$7))</f>
        <v>7.9512041126252102</v>
      </c>
      <c r="BQ18" s="9">
        <f>IF(管理者入力シート!$B$14=1,BP15*管理者用人口入力シート!AR$3,IF(管理者入力シート!$B$14=2,BP15*管理者用人口入力シート!AR$7))</f>
        <v>10.068525624009029</v>
      </c>
      <c r="BR18" s="9">
        <f>IF(管理者入力シート!$B$14=1,BQ15*管理者用人口入力シート!AS$3,IF(管理者入力シート!$B$14=2,BQ15*管理者用人口入力シート!AS$7))</f>
        <v>14.605262472901527</v>
      </c>
      <c r="BS18" s="9">
        <f>IF(管理者入力シート!$B$14=1,BR15*管理者用人口入力シート!AT$3,IF(管理者入力シート!$B$14=2,BR15*管理者用人口入力シート!AT$7))</f>
        <v>18.003756313819821</v>
      </c>
      <c r="BT18" s="9">
        <f>IF(管理者入力シート!$B$14=1,BS15*管理者用人口入力シート!AU$3,IF(管理者入力シート!$B$14=2,BS15*管理者用人口入力シート!AU$7))</f>
        <v>22.803309288941239</v>
      </c>
      <c r="BU18" s="9">
        <f>IF(管理者入力シート!$B$14=1,BT15*管理者用人口入力シート!AV$3,IF(管理者入力シート!$B$14=2,BT15*管理者用人口入力シート!AV$7))</f>
        <v>16.090552422755557</v>
      </c>
      <c r="BV18" s="9">
        <f>IF(管理者入力シート!$B$14=1,BU15*管理者用人口入力シート!AW$3,IF(管理者入力シート!$B$14=2,BU15*管理者用人口入力シート!AW$7))</f>
        <v>24.51023548863661</v>
      </c>
      <c r="BW18" s="9">
        <f>IF(管理者入力シート!$B$14=1,BV15*管理者用人口入力シート!AX$3,IF(管理者入力シート!$B$14=2,BV15*管理者用人口入力シート!AX$7))</f>
        <v>48.217053733247255</v>
      </c>
      <c r="BX18" s="9">
        <f>IF(管理者入力シート!$B$14=1,BW15*管理者用人口入力シート!AY$3,IF(管理者入力シート!$B$14=2,BW15*管理者用人口入力シート!AY$7))</f>
        <v>59.277753023456242</v>
      </c>
      <c r="BY18" s="9">
        <f>IF(管理者入力シート!$B$14=1,BX15*管理者用人口入力シート!AZ$3,IF(管理者入力シート!$B$14=2,BX15*管理者用人口入力シート!AZ$7))</f>
        <v>67.760742089159365</v>
      </c>
      <c r="BZ18" s="9">
        <f>IF(管理者入力シート!$B$14=1,BY15*管理者用人口入力シート!BA$3,IF(管理者入力シート!$B$14=2,BY15*管理者用人口入力シート!BA$7))</f>
        <v>69.426861246416038</v>
      </c>
      <c r="CA18" s="9">
        <f>IF(管理者入力シート!$B$14=1,BZ15*管理者用人口入力シート!BB$3,IF(管理者入力シート!$B$14=2,BZ15*管理者用人口入力シート!BB$7))</f>
        <v>40.933012852773444</v>
      </c>
      <c r="CB18" s="9">
        <f>IF(管理者入力シート!$B$14=1,CA15*管理者用人口入力シート!BC$3,IF(管理者入力シート!$B$14=2,CA15*管理者用人口入力シート!BC$7))</f>
        <v>34.412715334277905</v>
      </c>
      <c r="CC18" s="9">
        <f>IF(管理者入力シート!$B$14=1,CB15*管理者用人口入力シート!BD$3,IF(管理者入力シート!$B$14=2,CB15*管理者用人口入力シート!BD$7))</f>
        <v>21.826414602718636</v>
      </c>
      <c r="CD18" s="9">
        <f>IF(管理者入力シート!$B$14=1,CC15*管理者用人口入力シート!BE$3,IF(管理者入力シート!$B$14=2,CC15*管理者用人口入力シート!BE$7))</f>
        <v>11.97984207688352</v>
      </c>
      <c r="CE18" s="9">
        <f>IF(管理者入力シート!$B$14=1,CD15*管理者用人口入力シート!BF$3,IF(管理者入力シート!$B$14=2,CD15*管理者用人口入力シート!BF$7))</f>
        <v>1.1505010403897875E-2</v>
      </c>
      <c r="CF18" s="9">
        <f t="shared" si="252"/>
        <v>513.1336172124503</v>
      </c>
      <c r="CG18" s="9">
        <f t="shared" si="253"/>
        <v>12.091874661589213</v>
      </c>
      <c r="CH18" s="9">
        <f t="shared" si="254"/>
        <v>6.6147101551034995</v>
      </c>
      <c r="CI18" s="9">
        <f t="shared" si="255"/>
        <v>305.62884623608903</v>
      </c>
      <c r="CJ18" s="9">
        <f t="shared" si="256"/>
        <v>178.59035112347345</v>
      </c>
      <c r="CK18" s="13">
        <f t="shared" si="257"/>
        <v>0.59561259676648892</v>
      </c>
      <c r="CL18" s="13">
        <f t="shared" si="258"/>
        <v>0.34803868842904623</v>
      </c>
      <c r="CM18" s="9">
        <f t="shared" si="259"/>
        <v>40.477499744240902</v>
      </c>
      <c r="CO18" s="7" t="str">
        <f t="shared" si="26"/>
        <v>2050_1</v>
      </c>
      <c r="CP18" s="28">
        <f>管理者入力シート!B13</f>
        <v>2050</v>
      </c>
      <c r="CQ18" s="3" t="s">
        <v>21</v>
      </c>
      <c r="CR18" s="9">
        <f>DT19*$AK$13+将来予測シート②!$G17</f>
        <v>8.9404957163448948</v>
      </c>
      <c r="CS18" s="9">
        <f>IF(管理者入力シート!$B$14=1,CR15*管理者用人口入力シート!AM$3,IF(管理者入力シート!$B$14=2,CR15*管理者用人口入力シート!AM$7))+将来予測シート②!$G18</f>
        <v>11.076157986092728</v>
      </c>
      <c r="CT18" s="9">
        <f>IF(管理者入力シート!$B$14=1,CS15*管理者用人口入力シート!AN$3,IF(管理者入力シート!$B$14=2,CS15*管理者用人口入力シート!AN$7))+将来予測シート②!$G19</f>
        <v>14.414335499958179</v>
      </c>
      <c r="CU18" s="9">
        <f>IF(管理者入力シート!$B$14=1,CT15*管理者用人口入力シート!AO$3,IF(管理者入力シート!$B$14=2,CT15*管理者用人口入力シート!AO$7))+将来予測シート②!$G20</f>
        <v>13.047422511412412</v>
      </c>
      <c r="CV18" s="9">
        <f>IF(管理者入力シート!$B$14=1,CU15*管理者用人口入力シート!AP$3,IF(管理者入力シート!$B$14=2,CU15*管理者用人口入力シート!AP$7))+将来予測シート②!$G21</f>
        <v>9.2260201623751925</v>
      </c>
      <c r="CW18" s="9">
        <f>IF(管理者入力シート!$B$14=1,CV15*管理者用人口入力シート!AQ$3,IF(管理者入力シート!$B$14=2,CV15*管理者用人口入力シート!AQ$7))+将来予測シート②!$G22</f>
        <v>10.672543199455044</v>
      </c>
      <c r="CX18" s="9">
        <f>IF(管理者入力シート!$B$14=1,CW15*管理者用人口入力シート!AR$3,IF(管理者入力シート!$B$14=2,CW15*管理者用人口入力シート!AR$7))+将来予測シート②!$G23</f>
        <v>12.135815730517352</v>
      </c>
      <c r="CY18" s="9">
        <f>IF(管理者入力シート!$B$14=1,CX15*管理者用人口入力シート!AS$3,IF(管理者入力シート!$B$14=2,CX15*管理者用人口入力シート!AS$7))+将来予測シート②!$G24</f>
        <v>16.539330278476477</v>
      </c>
      <c r="CZ18" s="9">
        <f>IF(管理者入力シート!$B$14=1,CY15*管理者用人口入力シート!AT$3,IF(管理者入力シート!$B$14=2,CY15*管理者用人口入力シート!AT$7))+将来予測シート②!$G25</f>
        <v>19.659510826580686</v>
      </c>
      <c r="DA18" s="9">
        <f>IF(管理者入力シート!$B$14=1,CZ15*管理者用人口入力シート!AU$3,IF(管理者入力シート!$B$14=2,CZ15*管理者用人口入力シート!AU$7))+将来予測シート②!$G26</f>
        <v>24.401546870857992</v>
      </c>
      <c r="DB18" s="9">
        <f>IF(管理者入力シート!$B$14=1,DA15*管理者用人口入力シート!AV$3,IF(管理者入力シート!$B$14=2,DA15*管理者用人口入力シート!AV$7))+将来予測シート②!$G27</f>
        <v>17.70296686695341</v>
      </c>
      <c r="DC18" s="9">
        <f>IF(管理者入力シート!$B$14=1,DB15*管理者用人口入力シート!AW$3,IF(管理者入力シート!$B$14=2,DB15*管理者用人口入力シート!AW$7))+将来予測シート②!$G28</f>
        <v>24.51023548863661</v>
      </c>
      <c r="DD18" s="9">
        <f>IF(管理者入力シート!$B$14=1,DC15*管理者用人口入力シート!AX$3,IF(管理者入力シート!$B$14=2,DC15*管理者用人口入力シート!AX$7))+将来予測シート②!$G29</f>
        <v>48.217053733247255</v>
      </c>
      <c r="DE18" s="9">
        <f>IF(管理者入力シート!$B$14=1,DD15*管理者用人口入力シート!AY$3,IF(管理者入力シート!$B$14=2,DD15*管理者用人口入力シート!AY$7))</f>
        <v>59.277753023456242</v>
      </c>
      <c r="DF18" s="9">
        <f>IF(管理者入力シート!$B$14=1,DE15*管理者用人口入力シート!AZ$3,IF(管理者入力シート!$B$14=2,DE15*管理者用人口入力シート!AZ$7))</f>
        <v>67.760742089159365</v>
      </c>
      <c r="DG18" s="9">
        <f>IF(管理者入力シート!$B$14=1,DF15*管理者用人口入力シート!BA$3,IF(管理者入力シート!$B$14=2,DF15*管理者用人口入力シート!BA$7))</f>
        <v>69.426861246416038</v>
      </c>
      <c r="DH18" s="9">
        <f>IF(管理者入力シート!$B$14=1,DG15*管理者用人口入力シート!BB$3,IF(管理者入力シート!$B$14=2,DG15*管理者用人口入力シート!BB$7))</f>
        <v>40.933012852773444</v>
      </c>
      <c r="DI18" s="9">
        <f>IF(管理者入力シート!$B$14=1,DH15*管理者用人口入力シート!BC$3,IF(管理者入力シート!$B$14=2,DH15*管理者用人口入力シート!BC$7))</f>
        <v>34.412715334277905</v>
      </c>
      <c r="DJ18" s="9">
        <f>IF(管理者入力シート!$B$14=1,DI15*管理者用人口入力シート!BD$3,IF(管理者入力シート!$B$14=2,DI15*管理者用人口入力シート!BD$7))</f>
        <v>21.826414602718636</v>
      </c>
      <c r="DK18" s="9">
        <f>IF(管理者入力シート!$B$14=1,DJ15*管理者用人口入力シート!BE$3,IF(管理者入力シート!$B$14=2,DJ15*管理者用人口入力シート!BE$7))</f>
        <v>11.97984207688352</v>
      </c>
      <c r="DL18" s="9">
        <f>IF(管理者入力シート!$B$14=1,DK15*管理者用人口入力シート!BF$3,IF(管理者入力シート!$B$14=2,DK15*管理者用人口入力シート!BF$7))</f>
        <v>1.1505010403897875E-2</v>
      </c>
      <c r="DM18" s="9">
        <f t="shared" si="260"/>
        <v>536.17228110699727</v>
      </c>
      <c r="DN18" s="9">
        <f t="shared" si="261"/>
        <v>15.294296091630546</v>
      </c>
      <c r="DO18" s="9">
        <f t="shared" si="262"/>
        <v>8.3752187022657552</v>
      </c>
      <c r="DP18" s="9">
        <f t="shared" si="263"/>
        <v>305.62884623608903</v>
      </c>
      <c r="DQ18" s="9">
        <f t="shared" si="264"/>
        <v>178.59035112347345</v>
      </c>
      <c r="DR18" s="13">
        <f t="shared" si="265"/>
        <v>0.57001985556783841</v>
      </c>
      <c r="DS18" s="13">
        <f t="shared" si="266"/>
        <v>0.33308389377151404</v>
      </c>
      <c r="DT18" s="9">
        <f t="shared" si="267"/>
        <v>48.573709370824062</v>
      </c>
      <c r="DX18" s="306">
        <f>DX1</f>
        <v>42</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8.4948959636964343</v>
      </c>
      <c r="BL19" s="10">
        <f>IF(管理者入力シート!$B$14=1,BK16*管理者用人口入力シート!AM$4,IF(管理者入力シート!$B$14=2,BK16*管理者用人口入力シート!AM$8))</f>
        <v>11.593556148987137</v>
      </c>
      <c r="BM19" s="10">
        <f>IF(管理者入力シート!$B$14=1,BL16*管理者用人口入力シート!AN$4,IF(管理者入力シート!$B$14=2,BL16*管理者用人口入力シート!AN$8))</f>
        <v>12.76921306404588</v>
      </c>
      <c r="BN19" s="10">
        <f>IF(管理者入力シート!$B$14=1,BM16*管理者用人口入力シート!AO$4,IF(管理者入力シート!$B$14=2,BM16*管理者用人口入力シート!AO$8))</f>
        <v>11.604741936039668</v>
      </c>
      <c r="BO19" s="10">
        <f>IF(管理者入力シート!$B$14=1,BN16*管理者用人口入力シート!AP$4,IF(管理者入力シート!$B$14=2,BN16*管理者用人口入力シート!AP$8))</f>
        <v>8.5022823319972147</v>
      </c>
      <c r="BP19" s="10">
        <f>IF(管理者入力シート!$B$14=1,BO16*管理者用人口入力シート!AQ$4,IF(管理者入力シート!$B$14=2,BO16*管理者用人口入力シート!AQ$8))</f>
        <v>10.246681633617795</v>
      </c>
      <c r="BQ19" s="10">
        <f>IF(管理者入力シート!$B$14=1,BP16*管理者用人口入力シート!AR$4,IF(管理者入力シート!$B$14=2,BP16*管理者用人口入力シート!AR$8))</f>
        <v>12.510455496563107</v>
      </c>
      <c r="BR19" s="10">
        <f>IF(管理者入力シート!$B$14=1,BQ16*管理者用人口入力シート!AS$4,IF(管理者入力シート!$B$14=2,BQ16*管理者用人口入力シート!AS$8))</f>
        <v>11.667205314615073</v>
      </c>
      <c r="BS19" s="10">
        <f>IF(管理者入力シート!$B$14=1,BR16*管理者用人口入力シート!AT$4,IF(管理者入力シート!$B$14=2,BR16*管理者用人口入力シート!AT$8))</f>
        <v>13.553855657949136</v>
      </c>
      <c r="BT19" s="10">
        <f>IF(管理者入力シート!$B$14=1,BS16*管理者用人口入力シート!AU$4,IF(管理者入力シート!$B$14=2,BS16*管理者用人口入力シート!AU$8))</f>
        <v>15.859823642834533</v>
      </c>
      <c r="BU19" s="10">
        <f>IF(管理者入力シート!$B$14=1,BT16*管理者用人口入力シート!AV$4,IF(管理者入力シート!$B$14=2,BT16*管理者用人口入力シート!AV$8))</f>
        <v>19.341792911669543</v>
      </c>
      <c r="BV19" s="10">
        <f>IF(管理者入力シート!$B$14=1,BU16*管理者用人口入力シート!AW$4,IF(管理者入力シート!$B$14=2,BU16*管理者用人口入力シート!AW$8))</f>
        <v>24.254825710880738</v>
      </c>
      <c r="BW19" s="10">
        <f>IF(管理者入力シート!$B$14=1,BV16*管理者用人口入力シート!AX$4,IF(管理者入力シート!$B$14=2,BV16*管理者用人口入力シート!AX$8))</f>
        <v>53.202104042470751</v>
      </c>
      <c r="BX19" s="10">
        <f>IF(管理者入力シート!$B$14=1,BW16*管理者用人口入力シート!AY$4,IF(管理者入力シート!$B$14=2,BW16*管理者用人口入力シート!AY$8))</f>
        <v>64.501365053191506</v>
      </c>
      <c r="BY19" s="10">
        <f>IF(管理者入力シート!$B$14=1,BX16*管理者用人口入力シート!AZ$4,IF(管理者入力シート!$B$14=2,BX16*管理者用人口入力シート!AZ$8))</f>
        <v>69.526017638665664</v>
      </c>
      <c r="BZ19" s="10">
        <f>IF(管理者入力シート!$B$14=1,BY16*管理者用人口入力シート!BA$4,IF(管理者入力シート!$B$14=2,BY16*管理者用人口入力シート!BA$8))</f>
        <v>74.036091857979969</v>
      </c>
      <c r="CA19" s="10">
        <f>IF(管理者入力シート!$B$14=1,BZ16*管理者用人口入力シート!BB$4,IF(管理者入力シート!$B$14=2,BZ16*管理者用人口入力シート!BB$8))</f>
        <v>57.543967121596168</v>
      </c>
      <c r="CB19" s="10">
        <f>IF(管理者入力シート!$B$14=1,CA16*管理者用人口入力シート!BC$4,IF(管理者入力シート!$B$14=2,CA16*管理者用人口入力シート!BC$8))</f>
        <v>64.88232805214281</v>
      </c>
      <c r="CC19" s="10">
        <f>IF(管理者入力シート!$B$14=1,CB16*管理者用人口入力シート!BD$4,IF(管理者入力シート!$B$14=2,CB16*管理者用人口入力シート!BD$8))</f>
        <v>56.831350969349906</v>
      </c>
      <c r="CD19" s="10">
        <f>IF(管理者入力シート!$B$14=1,CC16*管理者用人口入力シート!BE$4,IF(管理者入力シート!$B$14=2,CC16*管理者用人口入力シート!BE$8))</f>
        <v>27.925032850144852</v>
      </c>
      <c r="CE19" s="10">
        <f>IF(管理者入力シート!$B$14=1,CD16*管理者用人口入力シート!BF$4,IF(管理者入力シート!$B$14=2,CD16*管理者用人口入力シート!BF$8))</f>
        <v>7.5858380815490944</v>
      </c>
      <c r="CF19" s="10">
        <f t="shared" si="252"/>
        <v>636.43342547998702</v>
      </c>
      <c r="CG19" s="10">
        <f t="shared" si="253"/>
        <v>14.617661527819813</v>
      </c>
      <c r="CH19" s="10">
        <f t="shared" si="254"/>
        <v>7.4286336128262862</v>
      </c>
      <c r="CI19" s="10">
        <f t="shared" si="255"/>
        <v>422.83199162461989</v>
      </c>
      <c r="CJ19" s="10">
        <f t="shared" si="256"/>
        <v>288.80460893276279</v>
      </c>
      <c r="CK19" s="14">
        <f t="shared" si="257"/>
        <v>0.66437741120483629</v>
      </c>
      <c r="CL19" s="14">
        <f t="shared" si="258"/>
        <v>0.45378604795144345</v>
      </c>
      <c r="CM19" s="10">
        <f t="shared" si="259"/>
        <v>42.92662477679319</v>
      </c>
      <c r="CO19" s="7" t="str">
        <f t="shared" si="26"/>
        <v>2050_2</v>
      </c>
      <c r="CP19" s="29">
        <f>CP18</f>
        <v>2050</v>
      </c>
      <c r="CQ19" s="4" t="s">
        <v>22</v>
      </c>
      <c r="CR19" s="10">
        <f>DT19*$AK$14+将来予測シート②!$H17</f>
        <v>11.062598820734575</v>
      </c>
      <c r="CS19" s="10">
        <f>IF(管理者入力シート!$B$14=1,CR16*管理者用人口入力シート!AM$4,IF(管理者入力シート!$B$14=2,CR16*管理者用人口入力シート!AM$8))+将来予測シート②!$H18</f>
        <v>14.156103880921084</v>
      </c>
      <c r="CT19" s="10">
        <f>IF(管理者入力シート!$B$14=1,CS16*管理者用人口入力シート!AN$4,IF(管理者入力シート!$B$14=2,CS16*管理者用人口入力シート!AN$8))+将来予測シート②!$H19</f>
        <v>15.943592246358872</v>
      </c>
      <c r="CU19" s="10">
        <f>IF(管理者入力シート!$B$14=1,CT16*管理者用人口入力シート!AO$4,IF(管理者入力シート!$B$14=2,CT16*管理者用人口入力シート!AO$8))+将来予測シート②!$H20</f>
        <v>14.044750759114251</v>
      </c>
      <c r="CV19" s="10">
        <f>IF(管理者入力シート!$B$14=1,CU16*管理者用人口入力シート!AP$4,IF(管理者入力シート!$B$14=2,CU16*管理者用人口入力シート!AP$8))+将来予測シート②!$H21</f>
        <v>9.7992520793131845</v>
      </c>
      <c r="CW19" s="10">
        <f>IF(管理者入力シート!$B$14=1,CV16*管理者用人口入力シート!AQ$4,IF(管理者入力シート!$B$14=2,CV16*管理者用人口入力シート!AQ$8))+将来予測シート②!$H22</f>
        <v>13.021353009076734</v>
      </c>
      <c r="CX19" s="10">
        <f>IF(管理者入力シート!$B$14=1,CW16*管理者用人口入力シート!AR$4,IF(管理者入力シート!$B$14=2,CW16*管理者用人口入力シート!AR$8))+将来予測シート②!$H23</f>
        <v>14.543613457975182</v>
      </c>
      <c r="CY19" s="10">
        <f>IF(管理者入力シート!$B$14=1,CX16*管理者用人口入力シート!AS$4,IF(管理者入力シート!$B$14=2,CX16*管理者用人口入力シート!AS$8))+将来予測シート②!$H24</f>
        <v>13.484362260634715</v>
      </c>
      <c r="CZ19" s="10">
        <f>IF(管理者入力シート!$B$14=1,CY16*管理者用人口入力シート!AT$4,IF(管理者入力シート!$B$14=2,CY16*管理者用人口入力シート!AT$8))+将来予測シート②!$H25</f>
        <v>16.056566008462873</v>
      </c>
      <c r="DA19" s="10">
        <f>IF(管理者入力シート!$B$14=1,CZ16*管理者用人口入力シート!AU$4,IF(管理者入力シート!$B$14=2,CZ16*管理者用人口入力シート!AU$8))+将来予測シート②!$H26</f>
        <v>18.265233563203665</v>
      </c>
      <c r="DB19" s="10">
        <f>IF(管理者入力シート!$B$14=1,DA16*管理者用人口入力シート!AV$4,IF(管理者入力シート!$B$14=2,DA16*管理者用人口入力シート!AV$8))+将来予測シート②!$H27</f>
        <v>21.79586221489048</v>
      </c>
      <c r="DC19" s="10">
        <f>IF(管理者入力シート!$B$14=1,DB16*管理者用人口入力シート!AW$4,IF(管理者入力シート!$B$14=2,DB16*管理者用人口入力シート!AW$8))+将来予測シート②!$H28</f>
        <v>25.254695254501105</v>
      </c>
      <c r="DD19" s="10">
        <f>IF(管理者入力シート!$B$14=1,DC16*管理者用人口入力シート!AX$4,IF(管理者入力シート!$B$14=2,DC16*管理者用人口入力シート!AX$8))+将来予測シート②!$H29</f>
        <v>54.199967370582051</v>
      </c>
      <c r="DE19" s="10">
        <f>IF(管理者入力シート!$B$14=1,DD16*管理者用人口入力シート!AY$4,IF(管理者入力シート!$B$14=2,DD16*管理者用人口入力シート!AY$8))</f>
        <v>65.456279976886393</v>
      </c>
      <c r="DF19" s="10">
        <f>IF(管理者入力シート!$B$14=1,DE16*管理者用人口入力シート!AZ$4,IF(管理者入力シート!$B$14=2,DE16*管理者用人口入力シート!AZ$8))</f>
        <v>69.526017638665664</v>
      </c>
      <c r="DG19" s="10">
        <f>IF(管理者入力シート!$B$14=1,DF16*管理者用人口入力シート!BA$4,IF(管理者入力シート!$B$14=2,DF16*管理者用人口入力シート!BA$8))</f>
        <v>74.036091857979969</v>
      </c>
      <c r="DH19" s="10">
        <f>IF(管理者入力シート!$B$14=1,DG16*管理者用人口入力シート!BB$4,IF(管理者入力シート!$B$14=2,DG16*管理者用人口入力シート!BB$8))</f>
        <v>57.543967121596168</v>
      </c>
      <c r="DI19" s="10">
        <f>IF(管理者入力シート!$B$14=1,DH16*管理者用人口入力シート!BC$4,IF(管理者入力シート!$B$14=2,DH16*管理者用人口入力シート!BC$8))</f>
        <v>64.88232805214281</v>
      </c>
      <c r="DJ19" s="10">
        <f>IF(管理者入力シート!$B$14=1,DI16*管理者用人口入力シート!BD$4,IF(管理者入力シート!$B$14=2,DI16*管理者用人口入力シート!BD$8))</f>
        <v>56.831350969349906</v>
      </c>
      <c r="DK19" s="10">
        <f>IF(管理者入力シート!$B$14=1,DJ16*管理者用人口入力シート!BE$4,IF(管理者入力シート!$B$14=2,DJ16*管理者用人口入力シート!BE$8))</f>
        <v>27.925032850144852</v>
      </c>
      <c r="DL19" s="10">
        <f>IF(管理者入力シート!$B$14=1,DK16*管理者用人口入力シート!BF$4,IF(管理者入力シート!$B$14=2,DK16*管理者用人口入力シート!BF$8))</f>
        <v>7.5858380815490944</v>
      </c>
      <c r="DM19" s="10">
        <f t="shared" si="260"/>
        <v>665.41485747408365</v>
      </c>
      <c r="DN19" s="10">
        <f t="shared" si="261"/>
        <v>18.05981767636797</v>
      </c>
      <c r="DO19" s="10">
        <f t="shared" si="262"/>
        <v>9.1863870503663989</v>
      </c>
      <c r="DP19" s="10">
        <f t="shared" si="263"/>
        <v>423.78690654831479</v>
      </c>
      <c r="DQ19" s="10">
        <f t="shared" si="264"/>
        <v>288.80460893276279</v>
      </c>
      <c r="DR19" s="14">
        <f t="shared" si="265"/>
        <v>0.63687623110342151</v>
      </c>
      <c r="DS19" s="14">
        <f t="shared" si="266"/>
        <v>0.43402188227215988</v>
      </c>
      <c r="DT19" s="10">
        <f t="shared" si="267"/>
        <v>50.84858080699982</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15.198301933885249</v>
      </c>
      <c r="BL20" s="16">
        <f t="shared" ref="BL20:CE20" si="276">BL18+BL19</f>
        <v>20.482821986484943</v>
      </c>
      <c r="BM20" s="16">
        <f t="shared" si="276"/>
        <v>24.033071662530094</v>
      </c>
      <c r="BN20" s="16">
        <f t="shared" si="276"/>
        <v>22.150575514588738</v>
      </c>
      <c r="BO20" s="16">
        <f t="shared" si="276"/>
        <v>16.354789866702347</v>
      </c>
      <c r="BP20" s="16">
        <f t="shared" si="276"/>
        <v>18.197885746243006</v>
      </c>
      <c r="BQ20" s="16">
        <f t="shared" si="276"/>
        <v>22.578981120572138</v>
      </c>
      <c r="BR20" s="16">
        <f t="shared" si="276"/>
        <v>26.2724677875166</v>
      </c>
      <c r="BS20" s="16">
        <f t="shared" si="276"/>
        <v>31.557611971768956</v>
      </c>
      <c r="BT20" s="16">
        <f t="shared" si="276"/>
        <v>38.66313293177577</v>
      </c>
      <c r="BU20" s="16">
        <f t="shared" si="276"/>
        <v>35.432345334425101</v>
      </c>
      <c r="BV20" s="16">
        <f t="shared" si="276"/>
        <v>48.765061199517348</v>
      </c>
      <c r="BW20" s="16">
        <f t="shared" si="276"/>
        <v>101.41915777571801</v>
      </c>
      <c r="BX20" s="16">
        <f t="shared" si="276"/>
        <v>123.77911807664775</v>
      </c>
      <c r="BY20" s="16">
        <f t="shared" si="276"/>
        <v>137.28675972782503</v>
      </c>
      <c r="BZ20" s="16">
        <f t="shared" si="276"/>
        <v>143.46295310439601</v>
      </c>
      <c r="CA20" s="16">
        <f t="shared" si="276"/>
        <v>98.476979974369613</v>
      </c>
      <c r="CB20" s="16">
        <f t="shared" si="276"/>
        <v>99.295043386420716</v>
      </c>
      <c r="CC20" s="16">
        <f t="shared" si="276"/>
        <v>78.657765572068541</v>
      </c>
      <c r="CD20" s="16">
        <f t="shared" si="276"/>
        <v>39.904874927028374</v>
      </c>
      <c r="CE20" s="16">
        <f t="shared" si="276"/>
        <v>7.5973430919529923</v>
      </c>
      <c r="CF20" s="11">
        <f t="shared" si="252"/>
        <v>1149.5670426924373</v>
      </c>
      <c r="CG20" s="11">
        <f t="shared" si="253"/>
        <v>26.709536189409022</v>
      </c>
      <c r="CH20" s="11">
        <f t="shared" si="254"/>
        <v>14.043343767929786</v>
      </c>
      <c r="CI20" s="11">
        <f t="shared" si="255"/>
        <v>728.46083786070903</v>
      </c>
      <c r="CJ20" s="11">
        <f t="shared" si="256"/>
        <v>467.39496005623619</v>
      </c>
      <c r="CK20" s="15">
        <f t="shared" si="257"/>
        <v>0.63368277865252454</v>
      </c>
      <c r="CL20" s="15">
        <f t="shared" si="258"/>
        <v>0.40658347247111021</v>
      </c>
      <c r="CM20" s="11">
        <f t="shared" si="259"/>
        <v>83.404124521034092</v>
      </c>
      <c r="CO20" s="7" t="str">
        <f t="shared" si="26"/>
        <v>2050_3</v>
      </c>
      <c r="CP20" s="30">
        <f>CP19</f>
        <v>2050</v>
      </c>
      <c r="CQ20" s="5" t="s">
        <v>23</v>
      </c>
      <c r="CR20" s="16">
        <f>CR18+CR19</f>
        <v>20.00309453707947</v>
      </c>
      <c r="CS20" s="16">
        <f t="shared" ref="CS20:DL20" si="277">CS18+CS19</f>
        <v>25.232261867013811</v>
      </c>
      <c r="CT20" s="16">
        <f t="shared" si="277"/>
        <v>30.357927746317053</v>
      </c>
      <c r="CU20" s="16">
        <f t="shared" si="277"/>
        <v>27.092173270526665</v>
      </c>
      <c r="CV20" s="16">
        <f t="shared" si="277"/>
        <v>19.025272241688377</v>
      </c>
      <c r="CW20" s="16">
        <f t="shared" si="277"/>
        <v>23.693896208531775</v>
      </c>
      <c r="CX20" s="16">
        <f t="shared" si="277"/>
        <v>26.679429188492534</v>
      </c>
      <c r="CY20" s="16">
        <f t="shared" si="277"/>
        <v>30.023692539111192</v>
      </c>
      <c r="CZ20" s="16">
        <f t="shared" si="277"/>
        <v>35.716076835043559</v>
      </c>
      <c r="DA20" s="16">
        <f t="shared" si="277"/>
        <v>42.666780434061657</v>
      </c>
      <c r="DB20" s="16">
        <f t="shared" si="277"/>
        <v>39.498829081843894</v>
      </c>
      <c r="DC20" s="16">
        <f t="shared" si="277"/>
        <v>49.764930743137711</v>
      </c>
      <c r="DD20" s="16">
        <f t="shared" si="277"/>
        <v>102.41702110382931</v>
      </c>
      <c r="DE20" s="16">
        <f t="shared" si="277"/>
        <v>124.73403300034263</v>
      </c>
      <c r="DF20" s="16">
        <f t="shared" si="277"/>
        <v>137.28675972782503</v>
      </c>
      <c r="DG20" s="16">
        <f t="shared" si="277"/>
        <v>143.46295310439601</v>
      </c>
      <c r="DH20" s="16">
        <f t="shared" si="277"/>
        <v>98.476979974369613</v>
      </c>
      <c r="DI20" s="16">
        <f t="shared" si="277"/>
        <v>99.295043386420716</v>
      </c>
      <c r="DJ20" s="16">
        <f t="shared" si="277"/>
        <v>78.657765572068541</v>
      </c>
      <c r="DK20" s="16">
        <f t="shared" si="277"/>
        <v>39.904874927028374</v>
      </c>
      <c r="DL20" s="16">
        <f t="shared" si="277"/>
        <v>7.5973430919529923</v>
      </c>
      <c r="DM20" s="11">
        <f t="shared" si="260"/>
        <v>1201.587138581081</v>
      </c>
      <c r="DN20" s="11">
        <f t="shared" si="261"/>
        <v>33.354113767998513</v>
      </c>
      <c r="DO20" s="11">
        <f t="shared" si="262"/>
        <v>17.561605752632154</v>
      </c>
      <c r="DP20" s="11">
        <f t="shared" si="263"/>
        <v>729.41575278440382</v>
      </c>
      <c r="DQ20" s="11">
        <f t="shared" si="264"/>
        <v>467.39496005623619</v>
      </c>
      <c r="DR20" s="15">
        <f t="shared" si="265"/>
        <v>0.6070435754212129</v>
      </c>
      <c r="DS20" s="15">
        <f t="shared" si="266"/>
        <v>0.38898132732027174</v>
      </c>
      <c r="DT20" s="11">
        <f t="shared" si="267"/>
        <v>99.422290177823882</v>
      </c>
      <c r="DX20" s="28">
        <f>DX3</f>
        <v>2025</v>
      </c>
      <c r="DY20" s="3" t="s">
        <v>21</v>
      </c>
      <c r="DZ20" s="9">
        <f t="shared" ref="DZ20:ET20" si="278">ROUND(DZ3,0)</f>
        <v>21</v>
      </c>
      <c r="EA20" s="9">
        <f t="shared" si="278"/>
        <v>32</v>
      </c>
      <c r="EB20" s="9">
        <f t="shared" si="278"/>
        <v>52</v>
      </c>
      <c r="EC20" s="9">
        <f t="shared" si="278"/>
        <v>51</v>
      </c>
      <c r="ED20" s="9">
        <f t="shared" si="278"/>
        <v>42</v>
      </c>
      <c r="EE20" s="9">
        <f t="shared" si="278"/>
        <v>62</v>
      </c>
      <c r="EF20" s="9">
        <f t="shared" si="278"/>
        <v>69</v>
      </c>
      <c r="EG20" s="9">
        <f t="shared" si="278"/>
        <v>92</v>
      </c>
      <c r="EH20" s="9">
        <f t="shared" si="278"/>
        <v>65</v>
      </c>
      <c r="EI20" s="9">
        <f t="shared" si="278"/>
        <v>81</v>
      </c>
      <c r="EJ20" s="9">
        <f t="shared" si="278"/>
        <v>94</v>
      </c>
      <c r="EK20" s="9">
        <f t="shared" si="278"/>
        <v>75</v>
      </c>
      <c r="EL20" s="9">
        <f t="shared" si="278"/>
        <v>99</v>
      </c>
      <c r="EM20" s="9">
        <f t="shared" si="278"/>
        <v>133</v>
      </c>
      <c r="EN20" s="9">
        <f t="shared" si="278"/>
        <v>165</v>
      </c>
      <c r="EO20" s="9">
        <f t="shared" si="278"/>
        <v>140</v>
      </c>
      <c r="EP20" s="9">
        <f t="shared" si="278"/>
        <v>79</v>
      </c>
      <c r="EQ20" s="9">
        <f t="shared" si="278"/>
        <v>53</v>
      </c>
      <c r="ER20" s="9">
        <f t="shared" si="278"/>
        <v>26</v>
      </c>
      <c r="ES20" s="9">
        <f t="shared" si="278"/>
        <v>13</v>
      </c>
      <c r="ET20" s="9">
        <f t="shared" si="278"/>
        <v>0</v>
      </c>
      <c r="EU20" s="9">
        <f t="shared" ref="EU20:EU21" si="279">SUM(DZ20:ET20)</f>
        <v>1444</v>
      </c>
      <c r="EV20" s="9">
        <f>EA20*3/5+EB20*3/5</f>
        <v>50.4</v>
      </c>
      <c r="EW20" s="9">
        <f>EB20*2/5+EC20*1/5</f>
        <v>31</v>
      </c>
      <c r="EX20" s="9">
        <f t="shared" ref="EX20:EX31" si="280">SUM(EM20:ET20)</f>
        <v>609</v>
      </c>
      <c r="EY20" s="9">
        <f>SUM(EO20:ET20)</f>
        <v>311</v>
      </c>
      <c r="EZ20" s="13">
        <f>EX20/EU20</f>
        <v>0.42174515235457066</v>
      </c>
      <c r="FA20" s="13">
        <f>EY20/EU20</f>
        <v>0.21537396121883656</v>
      </c>
      <c r="FB20" s="9">
        <f>SUM(ED20:EG20)</f>
        <v>265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27</v>
      </c>
      <c r="EA21" s="10">
        <f t="shared" si="281"/>
        <v>41</v>
      </c>
      <c r="EB21" s="10">
        <f t="shared" si="281"/>
        <v>39</v>
      </c>
      <c r="EC21" s="10">
        <f t="shared" si="281"/>
        <v>36</v>
      </c>
      <c r="ED21" s="10">
        <f t="shared" si="281"/>
        <v>27</v>
      </c>
      <c r="EE21" s="10">
        <f t="shared" si="281"/>
        <v>68</v>
      </c>
      <c r="EF21" s="10">
        <f t="shared" si="281"/>
        <v>69</v>
      </c>
      <c r="EG21" s="10">
        <f t="shared" si="281"/>
        <v>96</v>
      </c>
      <c r="EH21" s="10">
        <f t="shared" si="281"/>
        <v>68</v>
      </c>
      <c r="EI21" s="10">
        <f t="shared" si="281"/>
        <v>72</v>
      </c>
      <c r="EJ21" s="10">
        <f t="shared" si="281"/>
        <v>83</v>
      </c>
      <c r="EK21" s="10">
        <f t="shared" si="281"/>
        <v>73</v>
      </c>
      <c r="EL21" s="10">
        <f t="shared" si="281"/>
        <v>103</v>
      </c>
      <c r="EM21" s="10">
        <f t="shared" si="281"/>
        <v>153</v>
      </c>
      <c r="EN21" s="10">
        <f t="shared" si="281"/>
        <v>181</v>
      </c>
      <c r="EO21" s="10">
        <f t="shared" si="281"/>
        <v>177</v>
      </c>
      <c r="EP21" s="10">
        <f t="shared" si="281"/>
        <v>129</v>
      </c>
      <c r="EQ21" s="10">
        <f t="shared" si="281"/>
        <v>102</v>
      </c>
      <c r="ER21" s="10">
        <f t="shared" si="281"/>
        <v>71</v>
      </c>
      <c r="ES21" s="10">
        <f t="shared" si="281"/>
        <v>31</v>
      </c>
      <c r="ET21" s="10">
        <f t="shared" si="281"/>
        <v>7</v>
      </c>
      <c r="EU21" s="10">
        <f t="shared" si="279"/>
        <v>1653</v>
      </c>
      <c r="EV21" s="10">
        <f t="shared" ref="EV21:EV31" si="282">EA21*3/5+EB21*3/5</f>
        <v>48</v>
      </c>
      <c r="EW21" s="10">
        <f t="shared" ref="EW21:EW31" si="283">EB21*2/5+EC21*1/5</f>
        <v>22.8</v>
      </c>
      <c r="EX21" s="10">
        <f t="shared" si="280"/>
        <v>851</v>
      </c>
      <c r="EY21" s="10">
        <f t="shared" ref="EY21:EY31" si="284">SUM(EO21:ET21)</f>
        <v>517</v>
      </c>
      <c r="EZ21" s="14">
        <f t="shared" ref="EZ21:EZ31" si="285">EX21/EU21</f>
        <v>0.51482153660012098</v>
      </c>
      <c r="FA21" s="14">
        <f t="shared" ref="FA21:FA31" si="286">EY21/EU21</f>
        <v>0.31276467029643074</v>
      </c>
      <c r="FB21" s="10">
        <f>SUM(ED21:EG21)</f>
        <v>260</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48</v>
      </c>
      <c r="EA22" s="16">
        <f t="shared" ref="EA22:ET22" si="287">EA20+EA21</f>
        <v>73</v>
      </c>
      <c r="EB22" s="16">
        <f t="shared" si="287"/>
        <v>91</v>
      </c>
      <c r="EC22" s="16">
        <f t="shared" si="287"/>
        <v>87</v>
      </c>
      <c r="ED22" s="16">
        <f t="shared" si="287"/>
        <v>69</v>
      </c>
      <c r="EE22" s="16">
        <f t="shared" si="287"/>
        <v>130</v>
      </c>
      <c r="EF22" s="16">
        <f t="shared" si="287"/>
        <v>138</v>
      </c>
      <c r="EG22" s="16">
        <f t="shared" si="287"/>
        <v>188</v>
      </c>
      <c r="EH22" s="16">
        <f t="shared" si="287"/>
        <v>133</v>
      </c>
      <c r="EI22" s="16">
        <f t="shared" si="287"/>
        <v>153</v>
      </c>
      <c r="EJ22" s="16">
        <f t="shared" si="287"/>
        <v>177</v>
      </c>
      <c r="EK22" s="16">
        <f t="shared" si="287"/>
        <v>148</v>
      </c>
      <c r="EL22" s="16">
        <f t="shared" si="287"/>
        <v>202</v>
      </c>
      <c r="EM22" s="16">
        <f t="shared" si="287"/>
        <v>286</v>
      </c>
      <c r="EN22" s="16">
        <f t="shared" si="287"/>
        <v>346</v>
      </c>
      <c r="EO22" s="16">
        <f t="shared" si="287"/>
        <v>317</v>
      </c>
      <c r="EP22" s="16">
        <f t="shared" si="287"/>
        <v>208</v>
      </c>
      <c r="EQ22" s="16">
        <f t="shared" si="287"/>
        <v>155</v>
      </c>
      <c r="ER22" s="16">
        <f t="shared" si="287"/>
        <v>97</v>
      </c>
      <c r="ES22" s="16">
        <f t="shared" si="287"/>
        <v>44</v>
      </c>
      <c r="ET22" s="16">
        <f t="shared" si="287"/>
        <v>7</v>
      </c>
      <c r="EU22" s="11">
        <f>SUM(DZ22:ET22)</f>
        <v>3097</v>
      </c>
      <c r="EV22" s="11">
        <f t="shared" si="282"/>
        <v>98.4</v>
      </c>
      <c r="EW22" s="11">
        <f t="shared" si="283"/>
        <v>53.8</v>
      </c>
      <c r="EX22" s="11">
        <f t="shared" si="280"/>
        <v>1460</v>
      </c>
      <c r="EY22" s="11">
        <f t="shared" si="284"/>
        <v>828</v>
      </c>
      <c r="EZ22" s="15">
        <f t="shared" si="285"/>
        <v>0.47142395866968034</v>
      </c>
      <c r="FA22" s="15">
        <f t="shared" si="286"/>
        <v>0.2673555053277365</v>
      </c>
      <c r="FB22" s="11">
        <f>SUM(ED22:EG22)</f>
        <v>525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45</v>
      </c>
      <c r="EA23" s="9">
        <f t="shared" si="288"/>
        <v>22</v>
      </c>
      <c r="EB23" s="9">
        <f t="shared" si="288"/>
        <v>33</v>
      </c>
      <c r="EC23" s="9">
        <f t="shared" si="288"/>
        <v>42</v>
      </c>
      <c r="ED23" s="9">
        <f t="shared" si="288"/>
        <v>32</v>
      </c>
      <c r="EE23" s="9">
        <f t="shared" si="288"/>
        <v>71</v>
      </c>
      <c r="EF23" s="9">
        <f t="shared" si="288"/>
        <v>97</v>
      </c>
      <c r="EG23" s="9">
        <f t="shared" si="288"/>
        <v>106</v>
      </c>
      <c r="EH23" s="9">
        <f t="shared" si="288"/>
        <v>92</v>
      </c>
      <c r="EI23" s="9">
        <f t="shared" si="288"/>
        <v>62</v>
      </c>
      <c r="EJ23" s="9">
        <f t="shared" si="288"/>
        <v>81</v>
      </c>
      <c r="EK23" s="9">
        <f t="shared" si="288"/>
        <v>95</v>
      </c>
      <c r="EL23" s="9">
        <f t="shared" si="288"/>
        <v>74</v>
      </c>
      <c r="EM23" s="9">
        <f t="shared" si="288"/>
        <v>95</v>
      </c>
      <c r="EN23" s="9">
        <f t="shared" si="288"/>
        <v>118</v>
      </c>
      <c r="EO23" s="9">
        <f t="shared" si="288"/>
        <v>145</v>
      </c>
      <c r="EP23" s="9">
        <f t="shared" si="288"/>
        <v>104</v>
      </c>
      <c r="EQ23" s="9">
        <f t="shared" si="288"/>
        <v>49</v>
      </c>
      <c r="ER23" s="9">
        <f t="shared" si="288"/>
        <v>24</v>
      </c>
      <c r="ES23" s="9">
        <f t="shared" si="288"/>
        <v>10</v>
      </c>
      <c r="ET23" s="9">
        <f t="shared" si="288"/>
        <v>0</v>
      </c>
      <c r="EU23" s="9">
        <f t="shared" ref="EU23:EU31" si="289">SUM(DZ23:ET23)</f>
        <v>1397</v>
      </c>
      <c r="EV23" s="9">
        <f t="shared" si="282"/>
        <v>33</v>
      </c>
      <c r="EW23" s="9">
        <f t="shared" si="283"/>
        <v>21.6</v>
      </c>
      <c r="EX23" s="9">
        <f t="shared" si="280"/>
        <v>545</v>
      </c>
      <c r="EY23" s="9">
        <f t="shared" si="284"/>
        <v>332</v>
      </c>
      <c r="EZ23" s="13">
        <f t="shared" si="285"/>
        <v>0.39012168933428776</v>
      </c>
      <c r="FA23" s="13">
        <f t="shared" si="286"/>
        <v>0.23765211166785971</v>
      </c>
      <c r="FB23" s="9">
        <f t="shared" ref="FB23:FB31" si="290">SUM(ED23:EG23)</f>
        <v>306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57</v>
      </c>
      <c r="EA24" s="10">
        <f t="shared" si="291"/>
        <v>29</v>
      </c>
      <c r="EB24" s="10">
        <f t="shared" si="291"/>
        <v>38</v>
      </c>
      <c r="EC24" s="10">
        <f t="shared" si="291"/>
        <v>31</v>
      </c>
      <c r="ED24" s="10">
        <f t="shared" si="291"/>
        <v>22</v>
      </c>
      <c r="EE24" s="10">
        <f t="shared" si="291"/>
        <v>64</v>
      </c>
      <c r="EF24" s="10">
        <f t="shared" si="291"/>
        <v>100</v>
      </c>
      <c r="EG24" s="10">
        <f t="shared" si="291"/>
        <v>104</v>
      </c>
      <c r="EH24" s="10">
        <f t="shared" si="291"/>
        <v>95</v>
      </c>
      <c r="EI24" s="10">
        <f t="shared" si="291"/>
        <v>65</v>
      </c>
      <c r="EJ24" s="10">
        <f t="shared" si="291"/>
        <v>73</v>
      </c>
      <c r="EK24" s="10">
        <f t="shared" si="291"/>
        <v>85</v>
      </c>
      <c r="EL24" s="10">
        <f t="shared" si="291"/>
        <v>73</v>
      </c>
      <c r="EM24" s="10">
        <f t="shared" si="291"/>
        <v>98</v>
      </c>
      <c r="EN24" s="10">
        <f t="shared" si="291"/>
        <v>150</v>
      </c>
      <c r="EO24" s="10">
        <f t="shared" si="291"/>
        <v>169</v>
      </c>
      <c r="EP24" s="10">
        <f t="shared" si="291"/>
        <v>160</v>
      </c>
      <c r="EQ24" s="10">
        <f t="shared" si="291"/>
        <v>104</v>
      </c>
      <c r="ER24" s="10">
        <f t="shared" si="291"/>
        <v>57</v>
      </c>
      <c r="ES24" s="10">
        <f t="shared" si="291"/>
        <v>29</v>
      </c>
      <c r="ET24" s="10">
        <f t="shared" si="291"/>
        <v>8</v>
      </c>
      <c r="EU24" s="10">
        <f t="shared" si="289"/>
        <v>1611</v>
      </c>
      <c r="EV24" s="10">
        <f t="shared" si="282"/>
        <v>40.200000000000003</v>
      </c>
      <c r="EW24" s="10">
        <f t="shared" si="283"/>
        <v>21.4</v>
      </c>
      <c r="EX24" s="10">
        <f t="shared" si="280"/>
        <v>775</v>
      </c>
      <c r="EY24" s="10">
        <f t="shared" si="284"/>
        <v>527</v>
      </c>
      <c r="EZ24" s="14">
        <f t="shared" si="285"/>
        <v>0.48106765983860955</v>
      </c>
      <c r="FA24" s="14">
        <f t="shared" si="286"/>
        <v>0.32712600869025449</v>
      </c>
      <c r="FB24" s="10">
        <f t="shared" si="290"/>
        <v>290</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102</v>
      </c>
      <c r="EA25" s="16">
        <f t="shared" ref="EA25:ET25" si="292">EA23+EA24</f>
        <v>51</v>
      </c>
      <c r="EB25" s="16">
        <f t="shared" si="292"/>
        <v>71</v>
      </c>
      <c r="EC25" s="16">
        <f t="shared" si="292"/>
        <v>73</v>
      </c>
      <c r="ED25" s="16">
        <f t="shared" si="292"/>
        <v>54</v>
      </c>
      <c r="EE25" s="16">
        <f t="shared" si="292"/>
        <v>135</v>
      </c>
      <c r="EF25" s="16">
        <f t="shared" si="292"/>
        <v>197</v>
      </c>
      <c r="EG25" s="16">
        <f t="shared" si="292"/>
        <v>210</v>
      </c>
      <c r="EH25" s="16">
        <f t="shared" si="292"/>
        <v>187</v>
      </c>
      <c r="EI25" s="16">
        <f t="shared" si="292"/>
        <v>127</v>
      </c>
      <c r="EJ25" s="16">
        <f t="shared" si="292"/>
        <v>154</v>
      </c>
      <c r="EK25" s="16">
        <f t="shared" si="292"/>
        <v>180</v>
      </c>
      <c r="EL25" s="16">
        <f t="shared" si="292"/>
        <v>147</v>
      </c>
      <c r="EM25" s="16">
        <f t="shared" si="292"/>
        <v>193</v>
      </c>
      <c r="EN25" s="16">
        <f t="shared" si="292"/>
        <v>268</v>
      </c>
      <c r="EO25" s="16">
        <f t="shared" si="292"/>
        <v>314</v>
      </c>
      <c r="EP25" s="16">
        <f t="shared" si="292"/>
        <v>264</v>
      </c>
      <c r="EQ25" s="16">
        <f t="shared" si="292"/>
        <v>153</v>
      </c>
      <c r="ER25" s="16">
        <f t="shared" si="292"/>
        <v>81</v>
      </c>
      <c r="ES25" s="16">
        <f t="shared" si="292"/>
        <v>39</v>
      </c>
      <c r="ET25" s="16">
        <f t="shared" si="292"/>
        <v>8</v>
      </c>
      <c r="EU25" s="11">
        <f t="shared" si="289"/>
        <v>3008</v>
      </c>
      <c r="EV25" s="11">
        <f t="shared" si="282"/>
        <v>73.2</v>
      </c>
      <c r="EW25" s="11">
        <f t="shared" si="283"/>
        <v>43</v>
      </c>
      <c r="EX25" s="11">
        <f t="shared" si="280"/>
        <v>1320</v>
      </c>
      <c r="EY25" s="11">
        <f t="shared" si="284"/>
        <v>859</v>
      </c>
      <c r="EZ25" s="15">
        <f t="shared" si="285"/>
        <v>0.43882978723404253</v>
      </c>
      <c r="FA25" s="15">
        <f t="shared" si="286"/>
        <v>0.28557180851063829</v>
      </c>
      <c r="FB25" s="11">
        <f t="shared" si="290"/>
        <v>596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48</v>
      </c>
      <c r="EA26" s="9">
        <f t="shared" si="293"/>
        <v>48</v>
      </c>
      <c r="EB26" s="9">
        <f t="shared" si="293"/>
        <v>23</v>
      </c>
      <c r="EC26" s="9">
        <f t="shared" si="293"/>
        <v>27</v>
      </c>
      <c r="ED26" s="9">
        <f t="shared" si="293"/>
        <v>26</v>
      </c>
      <c r="EE26" s="9">
        <f t="shared" si="293"/>
        <v>64</v>
      </c>
      <c r="EF26" s="9">
        <f t="shared" si="293"/>
        <v>104</v>
      </c>
      <c r="EG26" s="9">
        <f t="shared" si="293"/>
        <v>132</v>
      </c>
      <c r="EH26" s="9">
        <f t="shared" si="293"/>
        <v>107</v>
      </c>
      <c r="EI26" s="9">
        <f t="shared" si="293"/>
        <v>89</v>
      </c>
      <c r="EJ26" s="9">
        <f t="shared" si="293"/>
        <v>63</v>
      </c>
      <c r="EK26" s="9">
        <f t="shared" si="293"/>
        <v>82</v>
      </c>
      <c r="EL26" s="9">
        <f t="shared" si="293"/>
        <v>94</v>
      </c>
      <c r="EM26" s="9">
        <f t="shared" si="293"/>
        <v>70</v>
      </c>
      <c r="EN26" s="9">
        <f t="shared" si="293"/>
        <v>84</v>
      </c>
      <c r="EO26" s="9">
        <f t="shared" si="293"/>
        <v>104</v>
      </c>
      <c r="EP26" s="9">
        <f t="shared" si="293"/>
        <v>109</v>
      </c>
      <c r="EQ26" s="9">
        <f t="shared" si="293"/>
        <v>65</v>
      </c>
      <c r="ER26" s="9">
        <f t="shared" si="293"/>
        <v>22</v>
      </c>
      <c r="ES26" s="9">
        <f t="shared" si="293"/>
        <v>9</v>
      </c>
      <c r="ET26" s="9">
        <f t="shared" si="293"/>
        <v>0</v>
      </c>
      <c r="EU26" s="9">
        <f t="shared" si="289"/>
        <v>1370</v>
      </c>
      <c r="EV26" s="9">
        <f t="shared" si="282"/>
        <v>42.6</v>
      </c>
      <c r="EW26" s="9">
        <f t="shared" si="283"/>
        <v>14.6</v>
      </c>
      <c r="EX26" s="9">
        <f t="shared" si="280"/>
        <v>463</v>
      </c>
      <c r="EY26" s="9">
        <f t="shared" si="284"/>
        <v>309</v>
      </c>
      <c r="EZ26" s="13">
        <f t="shared" si="285"/>
        <v>0.33795620437956203</v>
      </c>
      <c r="FA26" s="13">
        <f t="shared" si="286"/>
        <v>0.22554744525547446</v>
      </c>
      <c r="FB26" s="9">
        <f t="shared" si="290"/>
        <v>326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61</v>
      </c>
      <c r="EA27" s="10">
        <f t="shared" si="294"/>
        <v>62</v>
      </c>
      <c r="EB27" s="10">
        <f t="shared" si="294"/>
        <v>26</v>
      </c>
      <c r="EC27" s="10">
        <f t="shared" si="294"/>
        <v>30</v>
      </c>
      <c r="ED27" s="10">
        <f t="shared" si="294"/>
        <v>19</v>
      </c>
      <c r="EE27" s="10">
        <f t="shared" si="294"/>
        <v>60</v>
      </c>
      <c r="EF27" s="10">
        <f t="shared" si="294"/>
        <v>96</v>
      </c>
      <c r="EG27" s="10">
        <f t="shared" si="294"/>
        <v>131</v>
      </c>
      <c r="EH27" s="10">
        <f t="shared" si="294"/>
        <v>103</v>
      </c>
      <c r="EI27" s="10">
        <f t="shared" si="294"/>
        <v>91</v>
      </c>
      <c r="EJ27" s="10">
        <f t="shared" si="294"/>
        <v>66</v>
      </c>
      <c r="EK27" s="10">
        <f t="shared" si="294"/>
        <v>74</v>
      </c>
      <c r="EL27" s="10">
        <f t="shared" si="294"/>
        <v>85</v>
      </c>
      <c r="EM27" s="10">
        <f t="shared" si="294"/>
        <v>70</v>
      </c>
      <c r="EN27" s="10">
        <f t="shared" si="294"/>
        <v>96</v>
      </c>
      <c r="EO27" s="10">
        <f t="shared" si="294"/>
        <v>140</v>
      </c>
      <c r="EP27" s="10">
        <f t="shared" si="294"/>
        <v>153</v>
      </c>
      <c r="EQ27" s="10">
        <f t="shared" si="294"/>
        <v>128</v>
      </c>
      <c r="ER27" s="10">
        <f t="shared" si="294"/>
        <v>58</v>
      </c>
      <c r="ES27" s="10">
        <f t="shared" si="294"/>
        <v>23</v>
      </c>
      <c r="ET27" s="10">
        <f t="shared" si="294"/>
        <v>7</v>
      </c>
      <c r="EU27" s="10">
        <f t="shared" si="289"/>
        <v>1579</v>
      </c>
      <c r="EV27" s="10">
        <f t="shared" si="282"/>
        <v>52.800000000000004</v>
      </c>
      <c r="EW27" s="10">
        <f t="shared" si="283"/>
        <v>16.399999999999999</v>
      </c>
      <c r="EX27" s="10">
        <f t="shared" si="280"/>
        <v>675</v>
      </c>
      <c r="EY27" s="10">
        <f t="shared" si="284"/>
        <v>509</v>
      </c>
      <c r="EZ27" s="14">
        <f t="shared" si="285"/>
        <v>0.42748575047498416</v>
      </c>
      <c r="FA27" s="14">
        <f t="shared" si="286"/>
        <v>0.32235592146928438</v>
      </c>
      <c r="FB27" s="10">
        <f t="shared" si="290"/>
        <v>306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109</v>
      </c>
      <c r="EA28" s="16">
        <f t="shared" ref="EA28:ET28" si="295">EA26+EA27</f>
        <v>110</v>
      </c>
      <c r="EB28" s="16">
        <f t="shared" si="295"/>
        <v>49</v>
      </c>
      <c r="EC28" s="16">
        <f t="shared" si="295"/>
        <v>57</v>
      </c>
      <c r="ED28" s="16">
        <f t="shared" si="295"/>
        <v>45</v>
      </c>
      <c r="EE28" s="16">
        <f t="shared" si="295"/>
        <v>124</v>
      </c>
      <c r="EF28" s="16">
        <f t="shared" si="295"/>
        <v>200</v>
      </c>
      <c r="EG28" s="16">
        <f t="shared" si="295"/>
        <v>263</v>
      </c>
      <c r="EH28" s="16">
        <f t="shared" si="295"/>
        <v>210</v>
      </c>
      <c r="EI28" s="16">
        <f t="shared" si="295"/>
        <v>180</v>
      </c>
      <c r="EJ28" s="16">
        <f t="shared" si="295"/>
        <v>129</v>
      </c>
      <c r="EK28" s="16">
        <f t="shared" si="295"/>
        <v>156</v>
      </c>
      <c r="EL28" s="16">
        <f t="shared" si="295"/>
        <v>179</v>
      </c>
      <c r="EM28" s="16">
        <f t="shared" si="295"/>
        <v>140</v>
      </c>
      <c r="EN28" s="16">
        <f t="shared" si="295"/>
        <v>180</v>
      </c>
      <c r="EO28" s="16">
        <f t="shared" si="295"/>
        <v>244</v>
      </c>
      <c r="EP28" s="16">
        <f t="shared" si="295"/>
        <v>262</v>
      </c>
      <c r="EQ28" s="16">
        <f t="shared" si="295"/>
        <v>193</v>
      </c>
      <c r="ER28" s="16">
        <f t="shared" si="295"/>
        <v>80</v>
      </c>
      <c r="ES28" s="16">
        <f t="shared" si="295"/>
        <v>32</v>
      </c>
      <c r="ET28" s="16">
        <f t="shared" si="295"/>
        <v>7</v>
      </c>
      <c r="EU28" s="11">
        <f t="shared" si="289"/>
        <v>2949</v>
      </c>
      <c r="EV28" s="11">
        <f t="shared" si="282"/>
        <v>95.4</v>
      </c>
      <c r="EW28" s="11">
        <f t="shared" si="283"/>
        <v>31</v>
      </c>
      <c r="EX28" s="11">
        <f t="shared" si="280"/>
        <v>1138</v>
      </c>
      <c r="EY28" s="11">
        <f t="shared" si="284"/>
        <v>818</v>
      </c>
      <c r="EZ28" s="15">
        <f t="shared" si="285"/>
        <v>0.38589352322821296</v>
      </c>
      <c r="FA28" s="15">
        <f t="shared" si="286"/>
        <v>0.2773821634452357</v>
      </c>
      <c r="FB28" s="11">
        <f t="shared" si="290"/>
        <v>632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46</v>
      </c>
      <c r="EA29" s="9">
        <f t="shared" si="296"/>
        <v>50</v>
      </c>
      <c r="EB29" s="9">
        <f t="shared" si="296"/>
        <v>50</v>
      </c>
      <c r="EC29" s="9">
        <f t="shared" si="296"/>
        <v>19</v>
      </c>
      <c r="ED29" s="9">
        <f t="shared" si="296"/>
        <v>17</v>
      </c>
      <c r="EE29" s="9">
        <f t="shared" si="296"/>
        <v>60</v>
      </c>
      <c r="EF29" s="9">
        <f t="shared" si="296"/>
        <v>98</v>
      </c>
      <c r="EG29" s="9">
        <f t="shared" si="296"/>
        <v>140</v>
      </c>
      <c r="EH29" s="9">
        <f t="shared" si="296"/>
        <v>133</v>
      </c>
      <c r="EI29" s="9">
        <f t="shared" si="296"/>
        <v>103</v>
      </c>
      <c r="EJ29" s="9">
        <f t="shared" si="296"/>
        <v>90</v>
      </c>
      <c r="EK29" s="9">
        <f t="shared" si="296"/>
        <v>63</v>
      </c>
      <c r="EL29" s="9">
        <f t="shared" si="296"/>
        <v>81</v>
      </c>
      <c r="EM29" s="9">
        <f t="shared" si="296"/>
        <v>89</v>
      </c>
      <c r="EN29" s="9">
        <f t="shared" si="296"/>
        <v>62</v>
      </c>
      <c r="EO29" s="9">
        <f t="shared" si="296"/>
        <v>74</v>
      </c>
      <c r="EP29" s="9">
        <f t="shared" si="296"/>
        <v>78</v>
      </c>
      <c r="EQ29" s="9">
        <f t="shared" si="296"/>
        <v>68</v>
      </c>
      <c r="ER29" s="9">
        <f t="shared" si="296"/>
        <v>29</v>
      </c>
      <c r="ES29" s="9">
        <f t="shared" si="296"/>
        <v>9</v>
      </c>
      <c r="ET29" s="9">
        <f t="shared" si="296"/>
        <v>0</v>
      </c>
      <c r="EU29" s="9">
        <f t="shared" si="289"/>
        <v>1359</v>
      </c>
      <c r="EV29" s="9">
        <f t="shared" si="282"/>
        <v>60</v>
      </c>
      <c r="EW29" s="9">
        <f t="shared" si="283"/>
        <v>23.8</v>
      </c>
      <c r="EX29" s="9">
        <f t="shared" si="280"/>
        <v>409</v>
      </c>
      <c r="EY29" s="9">
        <f t="shared" si="284"/>
        <v>258</v>
      </c>
      <c r="EZ29" s="13">
        <f t="shared" si="285"/>
        <v>0.30095658572479767</v>
      </c>
      <c r="FA29" s="13">
        <f t="shared" si="286"/>
        <v>0.18984547461368653</v>
      </c>
      <c r="FB29" s="9">
        <f t="shared" si="290"/>
        <v>315</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59</v>
      </c>
      <c r="EA30" s="10">
        <f t="shared" si="297"/>
        <v>66</v>
      </c>
      <c r="EB30" s="10">
        <f t="shared" si="297"/>
        <v>57</v>
      </c>
      <c r="EC30" s="10">
        <f t="shared" si="297"/>
        <v>21</v>
      </c>
      <c r="ED30" s="10">
        <f t="shared" si="297"/>
        <v>18</v>
      </c>
      <c r="EE30" s="10">
        <f t="shared" si="297"/>
        <v>57</v>
      </c>
      <c r="EF30" s="10">
        <f t="shared" si="297"/>
        <v>93</v>
      </c>
      <c r="EG30" s="10">
        <f t="shared" si="297"/>
        <v>128</v>
      </c>
      <c r="EH30" s="10">
        <f t="shared" si="297"/>
        <v>130</v>
      </c>
      <c r="EI30" s="10">
        <f t="shared" si="297"/>
        <v>99</v>
      </c>
      <c r="EJ30" s="10">
        <f t="shared" si="297"/>
        <v>93</v>
      </c>
      <c r="EK30" s="10">
        <f t="shared" si="297"/>
        <v>68</v>
      </c>
      <c r="EL30" s="10">
        <f t="shared" si="297"/>
        <v>74</v>
      </c>
      <c r="EM30" s="10">
        <f t="shared" si="297"/>
        <v>81</v>
      </c>
      <c r="EN30" s="10">
        <f t="shared" si="297"/>
        <v>68</v>
      </c>
      <c r="EO30" s="10">
        <f t="shared" si="297"/>
        <v>90</v>
      </c>
      <c r="EP30" s="10">
        <f t="shared" si="297"/>
        <v>127</v>
      </c>
      <c r="EQ30" s="10">
        <f t="shared" si="297"/>
        <v>122</v>
      </c>
      <c r="ER30" s="10">
        <f t="shared" si="297"/>
        <v>72</v>
      </c>
      <c r="ES30" s="10">
        <f t="shared" si="297"/>
        <v>24</v>
      </c>
      <c r="ET30" s="10">
        <f t="shared" si="297"/>
        <v>6</v>
      </c>
      <c r="EU30" s="10">
        <f t="shared" si="289"/>
        <v>1553</v>
      </c>
      <c r="EV30" s="10">
        <f t="shared" si="282"/>
        <v>73.800000000000011</v>
      </c>
      <c r="EW30" s="10">
        <f t="shared" si="283"/>
        <v>27</v>
      </c>
      <c r="EX30" s="10">
        <f t="shared" si="280"/>
        <v>590</v>
      </c>
      <c r="EY30" s="10">
        <f t="shared" si="284"/>
        <v>441</v>
      </c>
      <c r="EZ30" s="14">
        <f t="shared" si="285"/>
        <v>0.37990985189954923</v>
      </c>
      <c r="FA30" s="14">
        <f t="shared" si="286"/>
        <v>0.28396651641983256</v>
      </c>
      <c r="FB30" s="10">
        <f t="shared" si="290"/>
        <v>296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105</v>
      </c>
      <c r="EA31" s="16">
        <f t="shared" ref="EA31:ET31" si="298">EA29+EA30</f>
        <v>116</v>
      </c>
      <c r="EB31" s="16">
        <f t="shared" si="298"/>
        <v>107</v>
      </c>
      <c r="EC31" s="16">
        <f t="shared" si="298"/>
        <v>40</v>
      </c>
      <c r="ED31" s="16">
        <f t="shared" si="298"/>
        <v>35</v>
      </c>
      <c r="EE31" s="16">
        <f t="shared" si="298"/>
        <v>117</v>
      </c>
      <c r="EF31" s="16">
        <f t="shared" si="298"/>
        <v>191</v>
      </c>
      <c r="EG31" s="16">
        <f t="shared" si="298"/>
        <v>268</v>
      </c>
      <c r="EH31" s="16">
        <f t="shared" si="298"/>
        <v>263</v>
      </c>
      <c r="EI31" s="16">
        <f t="shared" si="298"/>
        <v>202</v>
      </c>
      <c r="EJ31" s="16">
        <f t="shared" si="298"/>
        <v>183</v>
      </c>
      <c r="EK31" s="16">
        <f t="shared" si="298"/>
        <v>131</v>
      </c>
      <c r="EL31" s="16">
        <f t="shared" si="298"/>
        <v>155</v>
      </c>
      <c r="EM31" s="16">
        <f t="shared" si="298"/>
        <v>170</v>
      </c>
      <c r="EN31" s="16">
        <f t="shared" si="298"/>
        <v>130</v>
      </c>
      <c r="EO31" s="16">
        <f t="shared" si="298"/>
        <v>164</v>
      </c>
      <c r="EP31" s="16">
        <f t="shared" si="298"/>
        <v>205</v>
      </c>
      <c r="EQ31" s="16">
        <f t="shared" si="298"/>
        <v>190</v>
      </c>
      <c r="ER31" s="16">
        <f t="shared" si="298"/>
        <v>101</v>
      </c>
      <c r="ES31" s="16">
        <f t="shared" si="298"/>
        <v>33</v>
      </c>
      <c r="ET31" s="16">
        <f t="shared" si="298"/>
        <v>6</v>
      </c>
      <c r="EU31" s="11">
        <f t="shared" si="289"/>
        <v>2912</v>
      </c>
      <c r="EV31" s="11">
        <f t="shared" si="282"/>
        <v>133.80000000000001</v>
      </c>
      <c r="EW31" s="11">
        <f t="shared" si="283"/>
        <v>50.8</v>
      </c>
      <c r="EX31" s="11">
        <f t="shared" si="280"/>
        <v>999</v>
      </c>
      <c r="EY31" s="11">
        <f t="shared" si="284"/>
        <v>699</v>
      </c>
      <c r="EZ31" s="15">
        <f t="shared" si="285"/>
        <v>0.34306318681318682</v>
      </c>
      <c r="FA31" s="15">
        <f t="shared" si="286"/>
        <v>0.2400412087912088</v>
      </c>
      <c r="FB31" s="11">
        <f t="shared" si="290"/>
        <v>611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activeCell="B1" sqref="B1:B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1913</v>
      </c>
      <c r="D4" s="17">
        <f>SUM(C41:C61)</f>
        <v>2143</v>
      </c>
      <c r="E4" s="17">
        <f>C4+D4</f>
        <v>4056</v>
      </c>
      <c r="F4" s="85"/>
      <c r="G4" s="1" t="s">
        <v>58</v>
      </c>
      <c r="H4" s="1">
        <f>B4</f>
        <v>2010</v>
      </c>
      <c r="I4" s="17">
        <f>C4</f>
        <v>1913</v>
      </c>
      <c r="J4" s="17">
        <f>D4</f>
        <v>2143</v>
      </c>
      <c r="K4" s="17">
        <f>I4+J4</f>
        <v>4056</v>
      </c>
      <c r="N4" s="1" t="s">
        <v>58</v>
      </c>
      <c r="O4" s="1">
        <f>H4</f>
        <v>2010</v>
      </c>
      <c r="P4" s="17">
        <f>I4</f>
        <v>1913</v>
      </c>
      <c r="Q4" s="17">
        <f t="shared" ref="Q4:R4" si="0">J4</f>
        <v>2143</v>
      </c>
      <c r="R4" s="17">
        <f t="shared" si="0"/>
        <v>4056</v>
      </c>
      <c r="S4" s="1"/>
      <c r="T4" s="1"/>
      <c r="U4" s="1"/>
    </row>
    <row r="5" spans="1:21" x14ac:dyDescent="0.15">
      <c r="A5" s="1" t="s">
        <v>61</v>
      </c>
      <c r="B5" s="1">
        <f>管理者入力シート!B6</f>
        <v>2015</v>
      </c>
      <c r="C5" s="17">
        <f>SUM(B65:B85)</f>
        <v>1724</v>
      </c>
      <c r="D5" s="17">
        <f>SUM(C65:C85)</f>
        <v>1933</v>
      </c>
      <c r="E5" s="17">
        <f t="shared" ref="E5" si="1">C5+D5</f>
        <v>3657</v>
      </c>
      <c r="F5" s="85"/>
      <c r="G5" s="1" t="s">
        <v>57</v>
      </c>
      <c r="H5" s="1">
        <f t="shared" ref="H5:H6" si="2">B5</f>
        <v>2015</v>
      </c>
      <c r="I5" s="17">
        <f t="shared" ref="I5" si="3">C5</f>
        <v>1724</v>
      </c>
      <c r="J5" s="17">
        <f>D5</f>
        <v>1933</v>
      </c>
      <c r="K5" s="17">
        <f t="shared" ref="K5:K10" si="4">I5+J5</f>
        <v>3657</v>
      </c>
      <c r="N5" s="1" t="s">
        <v>57</v>
      </c>
      <c r="O5" s="1">
        <f t="shared" ref="O5:O10" si="5">H5</f>
        <v>2015</v>
      </c>
      <c r="P5" s="17">
        <f t="shared" ref="P5:P10" si="6">I5</f>
        <v>1724</v>
      </c>
      <c r="Q5" s="17">
        <f t="shared" ref="Q5:Q10" si="7">J5</f>
        <v>1933</v>
      </c>
      <c r="R5" s="17">
        <f t="shared" ref="R5:R10" si="8">K5</f>
        <v>3657</v>
      </c>
      <c r="S5" s="1"/>
      <c r="T5" s="1"/>
      <c r="U5" s="1"/>
    </row>
    <row r="6" spans="1:21" x14ac:dyDescent="0.15">
      <c r="A6" s="1" t="s">
        <v>62</v>
      </c>
      <c r="B6" s="1">
        <f>管理者入力シート!B5</f>
        <v>2020</v>
      </c>
      <c r="C6" s="17">
        <f>SUM(B89:B109)</f>
        <v>1514</v>
      </c>
      <c r="D6" s="17">
        <f>SUM(C89:C109)</f>
        <v>1731</v>
      </c>
      <c r="E6" s="17">
        <f>C6+D6</f>
        <v>3245</v>
      </c>
      <c r="F6" s="85"/>
      <c r="G6" s="1" t="s">
        <v>62</v>
      </c>
      <c r="H6" s="1">
        <f t="shared" si="2"/>
        <v>2020</v>
      </c>
      <c r="I6" s="17">
        <f>C6</f>
        <v>1514</v>
      </c>
      <c r="J6" s="17">
        <f>D6</f>
        <v>1731</v>
      </c>
      <c r="K6" s="17">
        <f t="shared" si="4"/>
        <v>3245</v>
      </c>
      <c r="N6" s="1" t="s">
        <v>62</v>
      </c>
      <c r="O6" s="1">
        <f t="shared" si="5"/>
        <v>2020</v>
      </c>
      <c r="P6" s="17">
        <f t="shared" si="6"/>
        <v>1514</v>
      </c>
      <c r="Q6" s="17">
        <f t="shared" si="7"/>
        <v>1731</v>
      </c>
      <c r="R6" s="17">
        <f t="shared" si="8"/>
        <v>3245</v>
      </c>
      <c r="S6" s="1"/>
      <c r="T6" s="1"/>
      <c r="U6" s="1"/>
    </row>
    <row r="7" spans="1:21" x14ac:dyDescent="0.15">
      <c r="G7" s="1" t="s">
        <v>106</v>
      </c>
      <c r="H7" s="1">
        <f>管理者入力シート!B8</f>
        <v>2025</v>
      </c>
      <c r="I7" s="17">
        <f>SUM(H69:H89)</f>
        <v>1318</v>
      </c>
      <c r="J7" s="17">
        <f>SUM(I69:I89)</f>
        <v>1527</v>
      </c>
      <c r="K7" s="17">
        <f t="shared" si="4"/>
        <v>2845</v>
      </c>
      <c r="N7" s="1" t="s">
        <v>106</v>
      </c>
      <c r="O7" s="1">
        <f t="shared" si="5"/>
        <v>2025</v>
      </c>
      <c r="P7" s="17">
        <f t="shared" si="6"/>
        <v>1318</v>
      </c>
      <c r="Q7" s="17">
        <f t="shared" si="7"/>
        <v>1527</v>
      </c>
      <c r="R7" s="17">
        <f t="shared" si="8"/>
        <v>2845</v>
      </c>
      <c r="S7" s="235">
        <f>SUM(O69:O89)</f>
        <v>1322</v>
      </c>
      <c r="T7" s="235">
        <f>SUM(P69:P89)</f>
        <v>1532</v>
      </c>
      <c r="U7" s="235">
        <f>S7+T7</f>
        <v>2854</v>
      </c>
    </row>
    <row r="8" spans="1:21" x14ac:dyDescent="0.15">
      <c r="A8" s="69" t="s">
        <v>71</v>
      </c>
      <c r="G8" s="1" t="s">
        <v>107</v>
      </c>
      <c r="H8" s="1">
        <f>管理者入力シート!B9</f>
        <v>2030</v>
      </c>
      <c r="I8" s="17">
        <f>SUM(H93:H113)</f>
        <v>1122</v>
      </c>
      <c r="J8" s="17">
        <f>SUM(I93:I113)</f>
        <v>1331</v>
      </c>
      <c r="K8" s="17">
        <f t="shared" si="4"/>
        <v>2453</v>
      </c>
      <c r="N8" s="1" t="s">
        <v>107</v>
      </c>
      <c r="O8" s="1">
        <f t="shared" si="5"/>
        <v>2030</v>
      </c>
      <c r="P8" s="17">
        <f t="shared" si="6"/>
        <v>1122</v>
      </c>
      <c r="Q8" s="17">
        <f t="shared" si="7"/>
        <v>1331</v>
      </c>
      <c r="R8" s="17">
        <f t="shared" si="8"/>
        <v>2453</v>
      </c>
      <c r="S8" s="235">
        <f>SUM(O93:O113)</f>
        <v>1130</v>
      </c>
      <c r="T8" s="235">
        <f>SUM(P93:P113)</f>
        <v>1342</v>
      </c>
      <c r="U8" s="235">
        <f t="shared" ref="U8:U10" si="9">S8+T8</f>
        <v>2472</v>
      </c>
    </row>
    <row r="9" spans="1:21" x14ac:dyDescent="0.15">
      <c r="A9" s="2" t="s">
        <v>72</v>
      </c>
      <c r="G9" s="1" t="s">
        <v>108</v>
      </c>
      <c r="H9" s="1">
        <f>管理者入力シート!B10</f>
        <v>2035</v>
      </c>
      <c r="I9" s="17">
        <f>SUM(H117:H137)</f>
        <v>941</v>
      </c>
      <c r="J9" s="17">
        <f>SUM(I117:I137)</f>
        <v>1142</v>
      </c>
      <c r="K9" s="17">
        <f t="shared" si="4"/>
        <v>2083</v>
      </c>
      <c r="N9" s="1" t="s">
        <v>108</v>
      </c>
      <c r="O9" s="1">
        <f t="shared" si="5"/>
        <v>2035</v>
      </c>
      <c r="P9" s="17">
        <f t="shared" si="6"/>
        <v>941</v>
      </c>
      <c r="Q9" s="17">
        <f t="shared" si="7"/>
        <v>1142</v>
      </c>
      <c r="R9" s="17">
        <f t="shared" si="8"/>
        <v>2083</v>
      </c>
      <c r="S9" s="235">
        <f>SUM(O117:O137)</f>
        <v>954</v>
      </c>
      <c r="T9" s="235">
        <f>SUM(P117:P137)</f>
        <v>1154</v>
      </c>
      <c r="U9" s="235">
        <f t="shared" si="9"/>
        <v>2108</v>
      </c>
    </row>
    <row r="10" spans="1:21" x14ac:dyDescent="0.15">
      <c r="A10" s="1" t="s">
        <v>58</v>
      </c>
      <c r="B10" s="1">
        <f>B4</f>
        <v>2010</v>
      </c>
      <c r="C10" s="17">
        <f>ROUND(VLOOKUP(B10&amp;"_3",管理者用人口入力シート!A:AA,26,FALSE),0)</f>
        <v>175</v>
      </c>
      <c r="D10" s="12"/>
      <c r="E10" s="12"/>
      <c r="G10" s="1" t="s">
        <v>109</v>
      </c>
      <c r="H10" s="1">
        <f>管理者入力シート!B11</f>
        <v>2040</v>
      </c>
      <c r="I10" s="17">
        <f>SUM(H141:H161)</f>
        <v>778</v>
      </c>
      <c r="J10" s="17">
        <f>SUM(I141:I161)</f>
        <v>960</v>
      </c>
      <c r="K10" s="17">
        <f t="shared" si="4"/>
        <v>1738</v>
      </c>
      <c r="N10" s="1" t="s">
        <v>109</v>
      </c>
      <c r="O10" s="1">
        <f t="shared" si="5"/>
        <v>2040</v>
      </c>
      <c r="P10" s="17">
        <f t="shared" si="6"/>
        <v>778</v>
      </c>
      <c r="Q10" s="17">
        <f t="shared" si="7"/>
        <v>960</v>
      </c>
      <c r="R10" s="17">
        <f t="shared" si="8"/>
        <v>1738</v>
      </c>
      <c r="S10" s="235">
        <f>SUM(O141:O161)</f>
        <v>792</v>
      </c>
      <c r="T10" s="235">
        <f>SUM(P141:P161)</f>
        <v>980</v>
      </c>
      <c r="U10" s="235">
        <f t="shared" si="9"/>
        <v>1772</v>
      </c>
    </row>
    <row r="11" spans="1:21" x14ac:dyDescent="0.15">
      <c r="A11" s="1" t="s">
        <v>61</v>
      </c>
      <c r="B11" s="1">
        <f t="shared" ref="B11:B12" si="10">B5</f>
        <v>2015</v>
      </c>
      <c r="C11" s="17">
        <f>ROUND(VLOOKUP(B11&amp;"_3",管理者用人口入力シート!A:AA,26,FALSE),0)</f>
        <v>150</v>
      </c>
      <c r="D11" s="12"/>
      <c r="E11" s="12"/>
      <c r="I11" s="12"/>
      <c r="J11" s="12"/>
      <c r="K11" s="12"/>
      <c r="P11" s="12"/>
    </row>
    <row r="12" spans="1:21" x14ac:dyDescent="0.15">
      <c r="A12" s="1" t="s">
        <v>62</v>
      </c>
      <c r="B12" s="1">
        <f t="shared" si="10"/>
        <v>2020</v>
      </c>
      <c r="C12" s="17">
        <f>ROUND(VLOOKUP(B12&amp;"_3",管理者用人口入力シート!A:AA,26,FALSE),0)</f>
        <v>121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85</v>
      </c>
      <c r="D14" s="12"/>
      <c r="E14" s="12"/>
      <c r="G14" s="1" t="s">
        <v>58</v>
      </c>
      <c r="H14" s="1">
        <f>H4</f>
        <v>2010</v>
      </c>
      <c r="I14" s="17">
        <f>C10</f>
        <v>175</v>
      </c>
      <c r="J14" s="12"/>
      <c r="K14" s="12"/>
      <c r="N14" s="1" t="s">
        <v>58</v>
      </c>
      <c r="O14" s="1">
        <f>O4</f>
        <v>2010</v>
      </c>
      <c r="P14" s="17">
        <f>I14</f>
        <v>175</v>
      </c>
      <c r="Q14" s="17"/>
    </row>
    <row r="15" spans="1:21" x14ac:dyDescent="0.15">
      <c r="A15" s="1" t="s">
        <v>61</v>
      </c>
      <c r="B15" s="1">
        <f t="shared" ref="B15:B16" si="11">B5</f>
        <v>2015</v>
      </c>
      <c r="C15" s="17">
        <f>ROUND(VLOOKUP(B15&amp;"_3",管理者用人口入力シート!A:AA,27,FALSE),0)</f>
        <v>80</v>
      </c>
      <c r="D15" s="12"/>
      <c r="E15" s="12"/>
      <c r="G15" s="1" t="s">
        <v>57</v>
      </c>
      <c r="H15" s="1">
        <f t="shared" ref="H15:H20" si="12">H5</f>
        <v>2015</v>
      </c>
      <c r="I15" s="17">
        <f>C11</f>
        <v>150</v>
      </c>
      <c r="J15" s="12"/>
      <c r="K15" s="12"/>
      <c r="N15" s="1" t="s">
        <v>57</v>
      </c>
      <c r="O15" s="1">
        <f t="shared" ref="O15:O20" si="13">O5</f>
        <v>2015</v>
      </c>
      <c r="P15" s="17">
        <f t="shared" ref="P15:P20" si="14">I15</f>
        <v>150</v>
      </c>
      <c r="Q15" s="17"/>
    </row>
    <row r="16" spans="1:21" x14ac:dyDescent="0.15">
      <c r="A16" s="1" t="s">
        <v>62</v>
      </c>
      <c r="B16" s="1">
        <f t="shared" si="11"/>
        <v>2020</v>
      </c>
      <c r="C16" s="17">
        <f>ROUND(VLOOKUP(B16&amp;"_3",管理者用人口入力シート!A:AA,27,FALSE),0)</f>
        <v>66</v>
      </c>
      <c r="D16" s="12"/>
      <c r="E16" s="12"/>
      <c r="G16" s="1" t="s">
        <v>62</v>
      </c>
      <c r="H16" s="1">
        <f t="shared" si="12"/>
        <v>2020</v>
      </c>
      <c r="I16" s="17">
        <f>C12</f>
        <v>121</v>
      </c>
      <c r="J16" s="12"/>
      <c r="K16" s="12"/>
      <c r="N16" s="1" t="s">
        <v>62</v>
      </c>
      <c r="O16" s="1">
        <f t="shared" si="13"/>
        <v>2020</v>
      </c>
      <c r="P16" s="17">
        <f t="shared" si="14"/>
        <v>121</v>
      </c>
      <c r="Q16" s="17"/>
    </row>
    <row r="17" spans="1:17" x14ac:dyDescent="0.15">
      <c r="G17" s="1" t="s">
        <v>106</v>
      </c>
      <c r="H17" s="1">
        <f t="shared" si="12"/>
        <v>2025</v>
      </c>
      <c r="I17" s="17">
        <f>ROUND(VLOOKUP(H17&amp;"_3",管理者用人口入力シート!BH:CM,26,FALSE),0)</f>
        <v>98</v>
      </c>
      <c r="J17" s="12"/>
      <c r="K17" s="12"/>
      <c r="N17" s="1" t="s">
        <v>106</v>
      </c>
      <c r="O17" s="1">
        <f t="shared" si="13"/>
        <v>2025</v>
      </c>
      <c r="P17" s="17">
        <f t="shared" si="14"/>
        <v>98</v>
      </c>
      <c r="Q17" s="17">
        <f>ROUND(VLOOKUP(H17&amp;"_3",管理者用人口入力シート!CO:DT,26,FALSE),0)</f>
        <v>100</v>
      </c>
    </row>
    <row r="18" spans="1:17" x14ac:dyDescent="0.15">
      <c r="A18" s="69" t="s">
        <v>110</v>
      </c>
      <c r="G18" s="1" t="s">
        <v>107</v>
      </c>
      <c r="H18" s="1">
        <f t="shared" si="12"/>
        <v>2030</v>
      </c>
      <c r="I18" s="17">
        <f>ROUND(VLOOKUP(H18&amp;"_3",管理者用人口入力シート!BH:CM,26,FALSE),0)</f>
        <v>73</v>
      </c>
      <c r="J18" s="12"/>
      <c r="K18" s="12"/>
      <c r="N18" s="1" t="s">
        <v>107</v>
      </c>
      <c r="O18" s="1">
        <f t="shared" si="13"/>
        <v>2030</v>
      </c>
      <c r="P18" s="17">
        <f t="shared" si="14"/>
        <v>73</v>
      </c>
      <c r="Q18" s="17">
        <f>ROUND(VLOOKUP(H18&amp;"_3",管理者用人口入力シート!CO:DT,26,FALSE),0)</f>
        <v>76</v>
      </c>
    </row>
    <row r="19" spans="1:17" x14ac:dyDescent="0.15">
      <c r="A19" s="2" t="s">
        <v>84</v>
      </c>
      <c r="G19" s="1" t="s">
        <v>108</v>
      </c>
      <c r="H19" s="1">
        <f t="shared" si="12"/>
        <v>2035</v>
      </c>
      <c r="I19" s="17">
        <f>ROUND(VLOOKUP(H19&amp;"_3",管理者用人口入力シート!BH:CM,26,FALSE),0)</f>
        <v>50</v>
      </c>
      <c r="J19" s="12"/>
      <c r="K19" s="12"/>
      <c r="N19" s="1" t="s">
        <v>108</v>
      </c>
      <c r="O19" s="1">
        <f t="shared" si="13"/>
        <v>2035</v>
      </c>
      <c r="P19" s="17">
        <f t="shared" si="14"/>
        <v>50</v>
      </c>
      <c r="Q19" s="17">
        <f>ROUND(VLOOKUP(H19&amp;"_3",管理者用人口入力シート!CO:DT,26,FALSE),0)</f>
        <v>55</v>
      </c>
    </row>
    <row r="20" spans="1:17" x14ac:dyDescent="0.15">
      <c r="A20" s="1" t="s">
        <v>58</v>
      </c>
      <c r="B20" s="1">
        <f>B4</f>
        <v>2010</v>
      </c>
      <c r="C20" s="17">
        <f>SUM(B54:C61)</f>
        <v>1428</v>
      </c>
      <c r="D20" s="12"/>
      <c r="E20" s="12"/>
      <c r="G20" s="1" t="s">
        <v>109</v>
      </c>
      <c r="H20" s="1">
        <f t="shared" si="12"/>
        <v>2040</v>
      </c>
      <c r="I20" s="17">
        <f>ROUND(VLOOKUP(H20&amp;"_3",管理者用人口入力シート!BH:CM,26,FALSE),0)</f>
        <v>37</v>
      </c>
      <c r="J20" s="12"/>
      <c r="K20" s="12"/>
      <c r="N20" s="1" t="s">
        <v>109</v>
      </c>
      <c r="O20" s="1">
        <f t="shared" si="13"/>
        <v>2040</v>
      </c>
      <c r="P20" s="17">
        <f t="shared" si="14"/>
        <v>37</v>
      </c>
      <c r="Q20" s="17">
        <f>ROUND(VLOOKUP(H20&amp;"_3",管理者用人口入力シート!CO:DT,26,FALSE),0)</f>
        <v>43</v>
      </c>
    </row>
    <row r="21" spans="1:17" x14ac:dyDescent="0.15">
      <c r="A21" s="1" t="s">
        <v>61</v>
      </c>
      <c r="B21" s="1">
        <f t="shared" ref="B21:B22" si="15">B5</f>
        <v>2015</v>
      </c>
      <c r="C21" s="17">
        <f>SUM(B78:C85)</f>
        <v>1459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1514</v>
      </c>
      <c r="D22" s="12"/>
      <c r="E22" s="12"/>
      <c r="G22" s="1" t="s">
        <v>58</v>
      </c>
      <c r="H22" s="1">
        <f>H4</f>
        <v>2010</v>
      </c>
      <c r="I22" s="17">
        <f>C14</f>
        <v>85</v>
      </c>
      <c r="J22" s="12"/>
      <c r="K22" s="12"/>
      <c r="N22" s="1" t="s">
        <v>58</v>
      </c>
      <c r="O22" s="1">
        <f>O4</f>
        <v>2010</v>
      </c>
      <c r="P22" s="17">
        <f>I22</f>
        <v>85</v>
      </c>
      <c r="Q22" s="17"/>
    </row>
    <row r="23" spans="1:17" x14ac:dyDescent="0.15">
      <c r="A23" s="2" t="s">
        <v>86</v>
      </c>
      <c r="G23" s="1" t="s">
        <v>57</v>
      </c>
      <c r="H23" s="1">
        <f t="shared" ref="H23:H28" si="16">H5</f>
        <v>2015</v>
      </c>
      <c r="I23" s="17">
        <f t="shared" ref="I23:I24" si="17">C15</f>
        <v>80</v>
      </c>
      <c r="J23" s="12"/>
      <c r="K23" s="12"/>
      <c r="N23" s="1" t="s">
        <v>57</v>
      </c>
      <c r="O23" s="1">
        <f t="shared" ref="O23:O28" si="18">O5</f>
        <v>2015</v>
      </c>
      <c r="P23" s="17">
        <f t="shared" ref="P23:P28" si="19">I23</f>
        <v>80</v>
      </c>
      <c r="Q23" s="17"/>
    </row>
    <row r="24" spans="1:17" x14ac:dyDescent="0.15">
      <c r="A24" s="1" t="s">
        <v>58</v>
      </c>
      <c r="B24" s="1">
        <f>B4</f>
        <v>2010</v>
      </c>
      <c r="C24" s="17">
        <f>SUM(B56:C61)</f>
        <v>869</v>
      </c>
      <c r="D24" s="12"/>
      <c r="E24" s="12"/>
      <c r="G24" s="1" t="s">
        <v>62</v>
      </c>
      <c r="H24" s="1">
        <f t="shared" si="16"/>
        <v>2020</v>
      </c>
      <c r="I24" s="17">
        <f t="shared" si="17"/>
        <v>66</v>
      </c>
      <c r="J24" s="12"/>
      <c r="K24" s="12"/>
      <c r="N24" s="1" t="s">
        <v>62</v>
      </c>
      <c r="O24" s="1">
        <f t="shared" si="18"/>
        <v>2020</v>
      </c>
      <c r="P24" s="17">
        <f t="shared" si="19"/>
        <v>66</v>
      </c>
      <c r="Q24" s="17"/>
    </row>
    <row r="25" spans="1:17" x14ac:dyDescent="0.15">
      <c r="A25" s="1" t="s">
        <v>61</v>
      </c>
      <c r="B25" s="1">
        <f t="shared" ref="B25:B26" si="20">B5</f>
        <v>2015</v>
      </c>
      <c r="C25" s="17">
        <f>SUM(B80:C85)</f>
        <v>825</v>
      </c>
      <c r="D25" s="12"/>
      <c r="E25" s="12"/>
      <c r="G25" s="1" t="s">
        <v>106</v>
      </c>
      <c r="H25" s="1">
        <f t="shared" si="16"/>
        <v>2025</v>
      </c>
      <c r="I25" s="17">
        <f>ROUND(VLOOKUP(H25&amp;"_3",管理者用人口入力シート!BH:CM,27,FALSE),0)</f>
        <v>54</v>
      </c>
      <c r="J25" s="12"/>
      <c r="K25" s="12"/>
      <c r="N25" s="1" t="s">
        <v>106</v>
      </c>
      <c r="O25" s="1">
        <f t="shared" si="18"/>
        <v>2025</v>
      </c>
      <c r="P25" s="17">
        <f t="shared" si="19"/>
        <v>54</v>
      </c>
      <c r="Q25" s="17">
        <f>ROUND(VLOOKUP(H17&amp;"_3",管理者用人口入力シート!CO:DT,27,FALSE),0)</f>
        <v>55</v>
      </c>
    </row>
    <row r="26" spans="1:17" x14ac:dyDescent="0.15">
      <c r="A26" s="1" t="s">
        <v>62</v>
      </c>
      <c r="B26" s="1">
        <f t="shared" si="20"/>
        <v>2020</v>
      </c>
      <c r="C26" s="17">
        <f>SUM(B104:C109)</f>
        <v>796</v>
      </c>
      <c r="D26" s="12"/>
      <c r="E26" s="12"/>
      <c r="G26" s="1" t="s">
        <v>107</v>
      </c>
      <c r="H26" s="1">
        <f t="shared" si="16"/>
        <v>2030</v>
      </c>
      <c r="I26" s="17">
        <f>ROUND(VLOOKUP(H26&amp;"_3",管理者用人口入力シート!BH:CM,27,FALSE),0)</f>
        <v>43</v>
      </c>
      <c r="J26" s="12"/>
      <c r="K26" s="12"/>
      <c r="N26" s="1" t="s">
        <v>107</v>
      </c>
      <c r="O26" s="1">
        <f t="shared" si="18"/>
        <v>2030</v>
      </c>
      <c r="P26" s="17">
        <f t="shared" si="19"/>
        <v>43</v>
      </c>
      <c r="Q26" s="17">
        <f>ROUND(VLOOKUP(H18&amp;"_3",管理者用人口入力シート!CO:DT,27,FALSE),0)</f>
        <v>44</v>
      </c>
    </row>
    <row r="27" spans="1:17" x14ac:dyDescent="0.15">
      <c r="G27" s="1" t="s">
        <v>108</v>
      </c>
      <c r="H27" s="1">
        <f t="shared" si="16"/>
        <v>2035</v>
      </c>
      <c r="I27" s="17">
        <f>ROUND(VLOOKUP(H27&amp;"_3",管理者用人口入力シート!BH:CM,27,FALSE),0)</f>
        <v>31</v>
      </c>
      <c r="J27" s="12"/>
      <c r="K27" s="12"/>
      <c r="N27" s="1" t="s">
        <v>108</v>
      </c>
      <c r="O27" s="1">
        <f t="shared" si="18"/>
        <v>2035</v>
      </c>
      <c r="P27" s="17">
        <f t="shared" si="19"/>
        <v>31</v>
      </c>
      <c r="Q27" s="17">
        <f>ROUND(VLOOKUP(H19&amp;"_3",管理者用人口入力シート!CO:DT,27,FALSE),0)</f>
        <v>33</v>
      </c>
    </row>
    <row r="28" spans="1:17" x14ac:dyDescent="0.15">
      <c r="A28" s="69" t="s">
        <v>85</v>
      </c>
      <c r="G28" s="1" t="s">
        <v>109</v>
      </c>
      <c r="H28" s="1">
        <f t="shared" si="16"/>
        <v>2040</v>
      </c>
      <c r="I28" s="17">
        <f>ROUND(VLOOKUP(H28&amp;"_3",管理者用人口入力シート!BH:CM,27,FALSE),0)</f>
        <v>21</v>
      </c>
      <c r="J28" s="12"/>
      <c r="K28" s="12"/>
      <c r="N28" s="1" t="s">
        <v>109</v>
      </c>
      <c r="O28" s="1">
        <f t="shared" si="18"/>
        <v>2040</v>
      </c>
      <c r="P28" s="17">
        <f t="shared" si="19"/>
        <v>21</v>
      </c>
      <c r="Q28" s="17">
        <f>ROUND(VLOOKUP(H20&amp;"_3",管理者用人口入力シート!CO:DT,27,FALSE),0)</f>
        <v>24</v>
      </c>
    </row>
    <row r="29" spans="1:17" x14ac:dyDescent="0.15">
      <c r="A29" s="2" t="s">
        <v>84</v>
      </c>
    </row>
    <row r="30" spans="1:17" x14ac:dyDescent="0.15">
      <c r="A30" s="1" t="s">
        <v>58</v>
      </c>
      <c r="B30" s="1">
        <f>B4</f>
        <v>2010</v>
      </c>
      <c r="C30" s="38">
        <f>ROUND((SUM(B54:C61)/SUM(B41:C61)),2)</f>
        <v>0.35</v>
      </c>
      <c r="D30" s="204"/>
      <c r="E30" s="204"/>
      <c r="G30" s="69" t="s">
        <v>110</v>
      </c>
      <c r="N30" s="69" t="s">
        <v>110</v>
      </c>
    </row>
    <row r="31" spans="1:17" x14ac:dyDescent="0.15">
      <c r="A31" s="1" t="s">
        <v>61</v>
      </c>
      <c r="B31" s="1">
        <f t="shared" ref="B31:B32" si="21">B5</f>
        <v>2015</v>
      </c>
      <c r="C31" s="38">
        <f>ROUND((SUM(B78:C85)/SUM(B65:C85)),2)</f>
        <v>0.4</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0.47</v>
      </c>
      <c r="D32" s="204"/>
      <c r="E32" s="204"/>
      <c r="G32" s="1" t="s">
        <v>58</v>
      </c>
      <c r="H32" s="1">
        <f>H4</f>
        <v>2010</v>
      </c>
      <c r="I32" s="17">
        <f>C20</f>
        <v>1428</v>
      </c>
      <c r="J32" s="12"/>
      <c r="K32" s="12"/>
      <c r="N32" s="1" t="s">
        <v>58</v>
      </c>
      <c r="O32" s="1">
        <f>O4</f>
        <v>2010</v>
      </c>
      <c r="P32" s="17">
        <f>I32</f>
        <v>1428</v>
      </c>
      <c r="Q32" s="17"/>
    </row>
    <row r="33" spans="1:17" x14ac:dyDescent="0.15">
      <c r="A33" s="2" t="s">
        <v>86</v>
      </c>
      <c r="G33" s="1" t="s">
        <v>57</v>
      </c>
      <c r="H33" s="1">
        <f t="shared" ref="H33:H38" si="22">H5</f>
        <v>2015</v>
      </c>
      <c r="I33" s="17">
        <f>C21</f>
        <v>1459</v>
      </c>
      <c r="J33" s="12"/>
      <c r="K33" s="12"/>
      <c r="N33" s="1" t="s">
        <v>57</v>
      </c>
      <c r="O33" s="1">
        <f t="shared" ref="O33:O38" si="23">O5</f>
        <v>2015</v>
      </c>
      <c r="P33" s="17">
        <f t="shared" ref="P33:P38" si="24">I33</f>
        <v>1459</v>
      </c>
      <c r="Q33" s="17"/>
    </row>
    <row r="34" spans="1:17" x14ac:dyDescent="0.15">
      <c r="A34" s="1" t="s">
        <v>58</v>
      </c>
      <c r="B34" s="1">
        <f>B4</f>
        <v>2010</v>
      </c>
      <c r="C34" s="38">
        <f>ROUND((SUM(B56:C61)/SUM(B41:C61)),2)</f>
        <v>0.21</v>
      </c>
      <c r="D34" s="204"/>
      <c r="E34" s="204"/>
      <c r="G34" s="1" t="s">
        <v>62</v>
      </c>
      <c r="H34" s="1">
        <f t="shared" si="22"/>
        <v>2020</v>
      </c>
      <c r="I34" s="17">
        <f>C22</f>
        <v>1514</v>
      </c>
      <c r="J34" s="12"/>
      <c r="K34" s="12"/>
      <c r="N34" s="1" t="s">
        <v>62</v>
      </c>
      <c r="O34" s="1">
        <f t="shared" si="23"/>
        <v>2020</v>
      </c>
      <c r="P34" s="17">
        <f t="shared" si="24"/>
        <v>1514</v>
      </c>
      <c r="Q34" s="17"/>
    </row>
    <row r="35" spans="1:17" x14ac:dyDescent="0.15">
      <c r="A35" s="1" t="s">
        <v>61</v>
      </c>
      <c r="B35" s="1">
        <f t="shared" ref="B35:B36" si="25">B5</f>
        <v>2015</v>
      </c>
      <c r="C35" s="38">
        <f>ROUND((SUM(B80:C85)/SUM(B65:C85)),2)</f>
        <v>0.23</v>
      </c>
      <c r="D35" s="204"/>
      <c r="E35" s="204"/>
      <c r="G35" s="1" t="s">
        <v>106</v>
      </c>
      <c r="H35" s="1">
        <f t="shared" si="22"/>
        <v>2025</v>
      </c>
      <c r="I35" s="17">
        <f>SUM(H82:I89)</f>
        <v>1460</v>
      </c>
      <c r="J35" s="12"/>
      <c r="K35" s="12"/>
      <c r="N35" s="1" t="s">
        <v>106</v>
      </c>
      <c r="O35" s="1">
        <f t="shared" si="23"/>
        <v>2025</v>
      </c>
      <c r="P35" s="17">
        <f t="shared" si="24"/>
        <v>1460</v>
      </c>
      <c r="Q35" s="17">
        <f>SUM(O82:P89)</f>
        <v>1460</v>
      </c>
    </row>
    <row r="36" spans="1:17" x14ac:dyDescent="0.15">
      <c r="A36" s="1" t="s">
        <v>62</v>
      </c>
      <c r="B36" s="1">
        <f t="shared" si="25"/>
        <v>2020</v>
      </c>
      <c r="C36" s="38">
        <f>ROUND((SUM(B104:C109)/SUM(B89:C109)),2)</f>
        <v>0.25</v>
      </c>
      <c r="D36" s="204"/>
      <c r="E36" s="204"/>
      <c r="G36" s="1" t="s">
        <v>107</v>
      </c>
      <c r="H36" s="1">
        <f t="shared" si="22"/>
        <v>2030</v>
      </c>
      <c r="I36" s="17">
        <f>SUM(H106:I113)</f>
        <v>1320</v>
      </c>
      <c r="J36" s="12"/>
      <c r="K36" s="12"/>
      <c r="N36" s="1" t="s">
        <v>107</v>
      </c>
      <c r="O36" s="1">
        <f t="shared" si="23"/>
        <v>2030</v>
      </c>
      <c r="P36" s="17">
        <f t="shared" si="24"/>
        <v>1320</v>
      </c>
      <c r="Q36" s="17">
        <f>SUM(O106:P113)</f>
        <v>1320</v>
      </c>
    </row>
    <row r="37" spans="1:17" x14ac:dyDescent="0.15">
      <c r="G37" s="1" t="s">
        <v>108</v>
      </c>
      <c r="H37" s="1">
        <f t="shared" si="22"/>
        <v>2035</v>
      </c>
      <c r="I37" s="17">
        <f>SUM(H130:I137)</f>
        <v>1138</v>
      </c>
      <c r="J37" s="12"/>
      <c r="K37" s="12"/>
      <c r="N37" s="1" t="s">
        <v>108</v>
      </c>
      <c r="O37" s="1">
        <f t="shared" si="23"/>
        <v>2035</v>
      </c>
      <c r="P37" s="17">
        <f t="shared" si="24"/>
        <v>1138</v>
      </c>
      <c r="Q37" s="17">
        <f>SUM(O130:P137)</f>
        <v>1138</v>
      </c>
    </row>
    <row r="38" spans="1:17" x14ac:dyDescent="0.15">
      <c r="A38" s="69" t="s">
        <v>113</v>
      </c>
      <c r="G38" s="1" t="s">
        <v>109</v>
      </c>
      <c r="H38" s="1">
        <f t="shared" si="22"/>
        <v>2040</v>
      </c>
      <c r="I38" s="17">
        <f>SUM(H154:I161)</f>
        <v>999</v>
      </c>
      <c r="J38" s="12"/>
      <c r="K38" s="12"/>
      <c r="N38" s="1" t="s">
        <v>109</v>
      </c>
      <c r="O38" s="1">
        <f t="shared" si="23"/>
        <v>2040</v>
      </c>
      <c r="P38" s="17">
        <f t="shared" si="24"/>
        <v>999</v>
      </c>
      <c r="Q38" s="17">
        <f>SUM(O154:P161)</f>
        <v>999</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869</v>
      </c>
      <c r="J40" s="12"/>
      <c r="K40" s="12"/>
      <c r="N40" s="1" t="s">
        <v>58</v>
      </c>
      <c r="O40" s="1">
        <f>O4</f>
        <v>2010</v>
      </c>
      <c r="P40" s="17">
        <f>I40</f>
        <v>869</v>
      </c>
      <c r="Q40" s="17"/>
    </row>
    <row r="41" spans="1:17" x14ac:dyDescent="0.15">
      <c r="A41" s="2" t="s">
        <v>0</v>
      </c>
      <c r="B41" s="17">
        <f>ROUND(VLOOKUP(B$39&amp;"_1",管理者用人口入力シート!A:X,D41,FALSE),0)</f>
        <v>62</v>
      </c>
      <c r="C41" s="17">
        <f>ROUND(VLOOKUP(B$39&amp;"_2",管理者用人口入力シート!A:X,D41,FALSE),0)</f>
        <v>44</v>
      </c>
      <c r="D41" s="2">
        <v>4</v>
      </c>
      <c r="G41" s="1" t="s">
        <v>57</v>
      </c>
      <c r="H41" s="1">
        <f t="shared" ref="H41:H46" si="26">H5</f>
        <v>2015</v>
      </c>
      <c r="I41" s="17">
        <f>C25</f>
        <v>825</v>
      </c>
      <c r="J41" s="12"/>
      <c r="K41" s="12"/>
      <c r="N41" s="1" t="s">
        <v>57</v>
      </c>
      <c r="O41" s="1">
        <f t="shared" ref="O41:O46" si="27">O5</f>
        <v>2015</v>
      </c>
      <c r="P41" s="17">
        <f t="shared" ref="P41:P46" si="28">I41</f>
        <v>825</v>
      </c>
      <c r="Q41" s="17"/>
    </row>
    <row r="42" spans="1:17" x14ac:dyDescent="0.15">
      <c r="A42" s="2" t="s">
        <v>1</v>
      </c>
      <c r="B42" s="17">
        <f>ROUND(VLOOKUP(B$39&amp;"_1",管理者用人口入力シート!A:X,D42,FALSE),0)</f>
        <v>81</v>
      </c>
      <c r="C42" s="17">
        <f>ROUND(VLOOKUP(B$39&amp;"_2",管理者用人口入力シート!A:X,D42,FALSE),0)</f>
        <v>65</v>
      </c>
      <c r="D42" s="2">
        <v>5</v>
      </c>
      <c r="G42" s="1" t="s">
        <v>62</v>
      </c>
      <c r="H42" s="1">
        <f t="shared" si="26"/>
        <v>2020</v>
      </c>
      <c r="I42" s="17">
        <f>C26</f>
        <v>796</v>
      </c>
      <c r="J42" s="12"/>
      <c r="K42" s="12"/>
      <c r="N42" s="1" t="s">
        <v>62</v>
      </c>
      <c r="O42" s="1">
        <f t="shared" si="27"/>
        <v>2020</v>
      </c>
      <c r="P42" s="17">
        <f t="shared" si="28"/>
        <v>796</v>
      </c>
      <c r="Q42" s="17"/>
    </row>
    <row r="43" spans="1:17" x14ac:dyDescent="0.15">
      <c r="A43" s="2" t="s">
        <v>2</v>
      </c>
      <c r="B43" s="17">
        <f>ROUND(VLOOKUP(B$39&amp;"_1",管理者用人口入力シート!A:X,D43,FALSE),0)</f>
        <v>72</v>
      </c>
      <c r="C43" s="17">
        <f>ROUND(VLOOKUP(B$39&amp;"_2",管理者用人口入力シート!A:X,D43,FALSE),0)</f>
        <v>74</v>
      </c>
      <c r="D43" s="2">
        <v>6</v>
      </c>
      <c r="G43" s="1" t="s">
        <v>106</v>
      </c>
      <c r="H43" s="1">
        <f t="shared" si="26"/>
        <v>2025</v>
      </c>
      <c r="I43" s="17">
        <f>SUM(H84:I89)</f>
        <v>828</v>
      </c>
      <c r="J43" s="12"/>
      <c r="K43" s="12"/>
      <c r="N43" s="1" t="s">
        <v>106</v>
      </c>
      <c r="O43" s="1">
        <f t="shared" si="27"/>
        <v>2025</v>
      </c>
      <c r="P43" s="17">
        <f t="shared" si="28"/>
        <v>828</v>
      </c>
      <c r="Q43" s="17">
        <f>SUM(O84:P89)</f>
        <v>828</v>
      </c>
    </row>
    <row r="44" spans="1:17" x14ac:dyDescent="0.15">
      <c r="A44" s="2" t="s">
        <v>3</v>
      </c>
      <c r="B44" s="17">
        <f>ROUND(VLOOKUP(B$39&amp;"_1",管理者用人口入力シート!A:X,D44,FALSE),0)</f>
        <v>66</v>
      </c>
      <c r="C44" s="17">
        <f>ROUND(VLOOKUP(B$39&amp;"_2",管理者用人口入力シート!A:X,D44,FALSE),0)</f>
        <v>65</v>
      </c>
      <c r="D44" s="2">
        <v>7</v>
      </c>
      <c r="G44" s="1" t="s">
        <v>107</v>
      </c>
      <c r="H44" s="1">
        <f t="shared" si="26"/>
        <v>2030</v>
      </c>
      <c r="I44" s="17">
        <f>SUM(H108:I113)</f>
        <v>859</v>
      </c>
      <c r="J44" s="12"/>
      <c r="K44" s="12"/>
      <c r="N44" s="1" t="s">
        <v>107</v>
      </c>
      <c r="O44" s="1">
        <f t="shared" si="27"/>
        <v>2030</v>
      </c>
      <c r="P44" s="17">
        <f t="shared" si="28"/>
        <v>859</v>
      </c>
      <c r="Q44" s="17">
        <f>SUM(O108:P113)</f>
        <v>859</v>
      </c>
    </row>
    <row r="45" spans="1:17" x14ac:dyDescent="0.15">
      <c r="A45" s="2" t="s">
        <v>4</v>
      </c>
      <c r="B45" s="17">
        <f>ROUND(VLOOKUP(B$39&amp;"_1",管理者用人口入力シート!A:X,D45,FALSE),0)</f>
        <v>76</v>
      </c>
      <c r="C45" s="17">
        <f>ROUND(VLOOKUP(B$39&amp;"_2",管理者用人口入力シート!A:X,D45,FALSE),0)</f>
        <v>73</v>
      </c>
      <c r="D45" s="2">
        <v>8</v>
      </c>
      <c r="G45" s="1" t="s">
        <v>108</v>
      </c>
      <c r="H45" s="1">
        <f t="shared" si="26"/>
        <v>2035</v>
      </c>
      <c r="I45" s="17">
        <f>SUM(H132:I137)</f>
        <v>818</v>
      </c>
      <c r="J45" s="12"/>
      <c r="K45" s="12"/>
      <c r="N45" s="1" t="s">
        <v>108</v>
      </c>
      <c r="O45" s="1">
        <f t="shared" si="27"/>
        <v>2035</v>
      </c>
      <c r="P45" s="17">
        <f t="shared" si="28"/>
        <v>818</v>
      </c>
      <c r="Q45" s="17">
        <f>SUM(O132:P137)</f>
        <v>818</v>
      </c>
    </row>
    <row r="46" spans="1:17" x14ac:dyDescent="0.15">
      <c r="A46" s="2" t="s">
        <v>5</v>
      </c>
      <c r="B46" s="17">
        <f>ROUND(VLOOKUP(B$39&amp;"_1",管理者用人口入力シート!A:X,D46,FALSE),0)</f>
        <v>81</v>
      </c>
      <c r="C46" s="17">
        <f>ROUND(VLOOKUP(B$39&amp;"_2",管理者用人口入力シート!A:X,D46,FALSE),0)</f>
        <v>91</v>
      </c>
      <c r="D46" s="2">
        <v>9</v>
      </c>
      <c r="G46" s="1" t="s">
        <v>109</v>
      </c>
      <c r="H46" s="1">
        <f t="shared" si="26"/>
        <v>2040</v>
      </c>
      <c r="I46" s="17">
        <f>SUM(H156:I161)</f>
        <v>699</v>
      </c>
      <c r="J46" s="12"/>
      <c r="K46" s="12"/>
      <c r="N46" s="1" t="s">
        <v>109</v>
      </c>
      <c r="O46" s="1">
        <f t="shared" si="27"/>
        <v>2040</v>
      </c>
      <c r="P46" s="17">
        <f t="shared" si="28"/>
        <v>699</v>
      </c>
      <c r="Q46" s="17">
        <f>SUM(O156:P161)</f>
        <v>699</v>
      </c>
    </row>
    <row r="47" spans="1:17" x14ac:dyDescent="0.15">
      <c r="A47" s="2" t="s">
        <v>6</v>
      </c>
      <c r="B47" s="17">
        <f>ROUND(VLOOKUP(B$39&amp;"_1",管理者用人口入力シート!A:X,D47,FALSE),0)</f>
        <v>86</v>
      </c>
      <c r="C47" s="17">
        <f>ROUND(VLOOKUP(B$39&amp;"_2",管理者用人口入力シート!A:X,D47,FALSE),0)</f>
        <v>82</v>
      </c>
      <c r="D47" s="2">
        <v>10</v>
      </c>
    </row>
    <row r="48" spans="1:17" x14ac:dyDescent="0.15">
      <c r="A48" s="2" t="s">
        <v>7</v>
      </c>
      <c r="B48" s="17">
        <f>ROUND(VLOOKUP(B$39&amp;"_1",管理者用人口入力シート!A:X,D48,FALSE),0)</f>
        <v>91</v>
      </c>
      <c r="C48" s="17">
        <f>ROUND(VLOOKUP(B$39&amp;"_2",管理者用人口入力シート!A:X,D48,FALSE),0)</f>
        <v>95</v>
      </c>
      <c r="D48" s="2">
        <v>11</v>
      </c>
      <c r="G48" s="69" t="s">
        <v>85</v>
      </c>
      <c r="N48" s="69" t="s">
        <v>85</v>
      </c>
    </row>
    <row r="49" spans="1:17" x14ac:dyDescent="0.15">
      <c r="A49" s="2" t="s">
        <v>8</v>
      </c>
      <c r="B49" s="17">
        <f>ROUND(VLOOKUP(B$39&amp;"_1",管理者用人口入力シート!A:X,D49,FALSE),0)</f>
        <v>85</v>
      </c>
      <c r="C49" s="17">
        <f>ROUND(VLOOKUP(B$39&amp;"_2",管理者用人口入力シート!A:X,D49,FALSE),0)</f>
        <v>75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97</v>
      </c>
      <c r="C50" s="17">
        <f>ROUND(VLOOKUP(B$39&amp;"_2",管理者用人口入力シート!A:X,D50,FALSE),0)</f>
        <v>94</v>
      </c>
      <c r="D50" s="2">
        <v>13</v>
      </c>
      <c r="G50" s="1" t="s">
        <v>58</v>
      </c>
      <c r="H50" s="1">
        <f>H4</f>
        <v>2010</v>
      </c>
      <c r="I50" s="38">
        <f>C30</f>
        <v>0.35</v>
      </c>
      <c r="J50" s="204"/>
      <c r="K50" s="204"/>
      <c r="N50" s="1" t="s">
        <v>58</v>
      </c>
      <c r="O50" s="1">
        <f>O4</f>
        <v>2010</v>
      </c>
      <c r="P50" s="38">
        <f t="shared" ref="P50:P56" si="29">I50</f>
        <v>0.35</v>
      </c>
      <c r="Q50" s="1"/>
    </row>
    <row r="51" spans="1:17" x14ac:dyDescent="0.15">
      <c r="A51" s="2" t="s">
        <v>10</v>
      </c>
      <c r="B51" s="17">
        <f>ROUND(VLOOKUP(B$39&amp;"_1",管理者用人口入力シート!A:X,D51,FALSE),0)</f>
        <v>139</v>
      </c>
      <c r="C51" s="17">
        <f>ROUND(VLOOKUP(B$39&amp;"_2",管理者用人口入力シート!A:X,D51,FALSE),0)</f>
        <v>163</v>
      </c>
      <c r="D51" s="2">
        <v>14</v>
      </c>
      <c r="G51" s="1" t="s">
        <v>57</v>
      </c>
      <c r="H51" s="1">
        <f t="shared" ref="H51:H56" si="30">H5</f>
        <v>2015</v>
      </c>
      <c r="I51" s="38">
        <f t="shared" ref="I51:I52" si="31">C31</f>
        <v>0.4</v>
      </c>
      <c r="J51" s="204"/>
      <c r="K51" s="204"/>
      <c r="N51" s="1" t="s">
        <v>57</v>
      </c>
      <c r="O51" s="1">
        <f t="shared" ref="O51:O56" si="32">O5</f>
        <v>2015</v>
      </c>
      <c r="P51" s="38">
        <f t="shared" si="29"/>
        <v>0.4</v>
      </c>
      <c r="Q51" s="1"/>
    </row>
    <row r="52" spans="1:17" x14ac:dyDescent="0.15">
      <c r="A52" s="2" t="s">
        <v>11</v>
      </c>
      <c r="B52" s="17">
        <f>ROUND(VLOOKUP(B$39&amp;"_1",管理者用人口入力シート!A:X,D52,FALSE),0)</f>
        <v>203</v>
      </c>
      <c r="C52" s="17">
        <f>ROUND(VLOOKUP(B$39&amp;"_2",管理者用人口入力シート!A:X,D52,FALSE),0)</f>
        <v>189</v>
      </c>
      <c r="D52" s="2">
        <v>15</v>
      </c>
      <c r="G52" s="1" t="s">
        <v>62</v>
      </c>
      <c r="H52" s="1">
        <f t="shared" si="30"/>
        <v>2020</v>
      </c>
      <c r="I52" s="38">
        <f t="shared" si="31"/>
        <v>0.47</v>
      </c>
      <c r="J52" s="204"/>
      <c r="K52" s="204"/>
      <c r="N52" s="1" t="s">
        <v>62</v>
      </c>
      <c r="O52" s="1">
        <f t="shared" si="32"/>
        <v>2020</v>
      </c>
      <c r="P52" s="38">
        <f t="shared" si="29"/>
        <v>0.47</v>
      </c>
      <c r="Q52" s="1"/>
    </row>
    <row r="53" spans="1:17" x14ac:dyDescent="0.15">
      <c r="A53" s="2" t="s">
        <v>12</v>
      </c>
      <c r="B53" s="17">
        <f>ROUND(VLOOKUP(B$39&amp;"_1",管理者用人口入力シート!A:X,D53,FALSE),0)</f>
        <v>182</v>
      </c>
      <c r="C53" s="17">
        <f>ROUND(VLOOKUP(B$39&amp;"_2",管理者用人口入力シート!A:X,D53,FALSE),0)</f>
        <v>197</v>
      </c>
      <c r="D53" s="2">
        <v>16</v>
      </c>
      <c r="G53" s="1" t="s">
        <v>106</v>
      </c>
      <c r="H53" s="1">
        <f t="shared" si="30"/>
        <v>2025</v>
      </c>
      <c r="I53" s="38">
        <f>ROUND((SUM(H82:I89)/SUM(H69:I89)),2)</f>
        <v>0.51</v>
      </c>
      <c r="J53" s="204"/>
      <c r="K53" s="204"/>
      <c r="L53" s="70"/>
      <c r="M53" s="70"/>
      <c r="N53" s="1" t="s">
        <v>106</v>
      </c>
      <c r="O53" s="1">
        <f t="shared" si="32"/>
        <v>2025</v>
      </c>
      <c r="P53" s="38">
        <f t="shared" si="29"/>
        <v>0.51</v>
      </c>
      <c r="Q53" s="38">
        <f>ROUND((SUM(O82:P89)/SUM(O69:P89)),2)</f>
        <v>0.51</v>
      </c>
    </row>
    <row r="54" spans="1:17" x14ac:dyDescent="0.15">
      <c r="A54" s="2" t="s">
        <v>13</v>
      </c>
      <c r="B54" s="17">
        <f>ROUND(VLOOKUP(B$39&amp;"_1",管理者用人口入力シート!A:X,D54,FALSE),0)</f>
        <v>136</v>
      </c>
      <c r="C54" s="17">
        <f>ROUND(VLOOKUP(B$39&amp;"_2",管理者用人口入力シート!A:X,D54,FALSE),0)</f>
        <v>156</v>
      </c>
      <c r="D54" s="2">
        <v>17</v>
      </c>
      <c r="G54" s="1" t="s">
        <v>107</v>
      </c>
      <c r="H54" s="1">
        <f t="shared" si="30"/>
        <v>2030</v>
      </c>
      <c r="I54" s="38">
        <f>ROUND((SUM(H106:I113)/SUM(H93:I113)),2)</f>
        <v>0.54</v>
      </c>
      <c r="J54" s="204"/>
      <c r="K54" s="204"/>
      <c r="N54" s="1" t="s">
        <v>107</v>
      </c>
      <c r="O54" s="1">
        <f t="shared" si="32"/>
        <v>2030</v>
      </c>
      <c r="P54" s="38">
        <f t="shared" si="29"/>
        <v>0.54</v>
      </c>
      <c r="Q54" s="38">
        <f>ROUND((SUM(O106:P113)/SUM(O93:P113)),2)</f>
        <v>0.53</v>
      </c>
    </row>
    <row r="55" spans="1:17" x14ac:dyDescent="0.15">
      <c r="A55" s="2" t="s">
        <v>14</v>
      </c>
      <c r="B55" s="17">
        <f>ROUND(VLOOKUP(B$39&amp;"_1",管理者用人口入力シート!A:X,D55,FALSE),0)</f>
        <v>114</v>
      </c>
      <c r="C55" s="17">
        <f>ROUND(VLOOKUP(B$39&amp;"_2",管理者用人口入力シート!A:X,D55,FALSE),0)</f>
        <v>153</v>
      </c>
      <c r="D55" s="2">
        <v>18</v>
      </c>
      <c r="G55" s="1" t="s">
        <v>108</v>
      </c>
      <c r="H55" s="1">
        <f t="shared" si="30"/>
        <v>2035</v>
      </c>
      <c r="I55" s="38">
        <f>ROUND((SUM(H130:I137)/SUM(H117:I137)),2)</f>
        <v>0.55000000000000004</v>
      </c>
      <c r="J55" s="204"/>
      <c r="K55" s="204"/>
      <c r="N55" s="1" t="s">
        <v>108</v>
      </c>
      <c r="O55" s="1">
        <f t="shared" si="32"/>
        <v>2035</v>
      </c>
      <c r="P55" s="38">
        <f t="shared" si="29"/>
        <v>0.55000000000000004</v>
      </c>
      <c r="Q55" s="38">
        <f>ROUND((SUM(O130:P137)/SUM(O117:P137)),2)</f>
        <v>0.54</v>
      </c>
    </row>
    <row r="56" spans="1:17" x14ac:dyDescent="0.15">
      <c r="A56" s="2" t="s">
        <v>15</v>
      </c>
      <c r="B56" s="17">
        <f>ROUND(VLOOKUP(B$39&amp;"_1",管理者用人口入力シート!A:X,D56,FALSE),0)</f>
        <v>141</v>
      </c>
      <c r="C56" s="17">
        <f>ROUND(VLOOKUP(B$39&amp;"_2",管理者用人口入力シート!A:X,D56,FALSE),0)</f>
        <v>178</v>
      </c>
      <c r="D56" s="2">
        <v>19</v>
      </c>
      <c r="G56" s="1" t="s">
        <v>109</v>
      </c>
      <c r="H56" s="1">
        <f t="shared" si="30"/>
        <v>2040</v>
      </c>
      <c r="I56" s="38">
        <f>ROUND((SUM(H154:I161)/SUM(H141:I161)),2)</f>
        <v>0.56999999999999995</v>
      </c>
      <c r="J56" s="204"/>
      <c r="K56" s="204"/>
      <c r="N56" s="1" t="s">
        <v>109</v>
      </c>
      <c r="O56" s="1">
        <f t="shared" si="32"/>
        <v>2040</v>
      </c>
      <c r="P56" s="38">
        <f t="shared" si="29"/>
        <v>0.56999999999999995</v>
      </c>
      <c r="Q56" s="38">
        <f>ROUND((SUM(O154:P161)/SUM(O141:P161)),2)</f>
        <v>0.56000000000000005</v>
      </c>
    </row>
    <row r="57" spans="1:17" x14ac:dyDescent="0.15">
      <c r="A57" s="2" t="s">
        <v>16</v>
      </c>
      <c r="B57" s="17">
        <f>ROUND(VLOOKUP(B$39&amp;"_1",管理者用人口入力シート!A:X,D57,FALSE),0)</f>
        <v>128</v>
      </c>
      <c r="C57" s="17">
        <f>ROUND(VLOOKUP(B$39&amp;"_2",管理者用人口入力シート!A:X,D57,FALSE),0)</f>
        <v>167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50</v>
      </c>
      <c r="C58" s="17">
        <f>ROUND(VLOOKUP(B$39&amp;"_2",管理者用人口入力シート!A:X,D58,FALSE),0)</f>
        <v>113</v>
      </c>
      <c r="D58" s="2">
        <v>21</v>
      </c>
      <c r="G58" s="1" t="s">
        <v>58</v>
      </c>
      <c r="H58" s="1">
        <f>H4</f>
        <v>2010</v>
      </c>
      <c r="I58" s="38">
        <f>C34</f>
        <v>0.21</v>
      </c>
      <c r="J58" s="204"/>
      <c r="K58" s="204"/>
      <c r="N58" s="1" t="s">
        <v>58</v>
      </c>
      <c r="O58" s="1">
        <f>O4</f>
        <v>2010</v>
      </c>
      <c r="P58" s="38">
        <f t="shared" ref="P58:P64" si="33">I58</f>
        <v>0.21</v>
      </c>
      <c r="Q58" s="1"/>
    </row>
    <row r="59" spans="1:17" x14ac:dyDescent="0.15">
      <c r="A59" s="2" t="s">
        <v>18</v>
      </c>
      <c r="B59" s="17">
        <f>ROUND(VLOOKUP(B$39&amp;"_1",管理者用人口入力シート!A:X,D59,FALSE),0)</f>
        <v>19</v>
      </c>
      <c r="C59" s="17">
        <f>ROUND(VLOOKUP(B$39&amp;"_2",管理者用人口入力シート!A:X,D59,FALSE),0)</f>
        <v>45</v>
      </c>
      <c r="D59" s="2">
        <v>22</v>
      </c>
      <c r="G59" s="1" t="s">
        <v>57</v>
      </c>
      <c r="H59" s="1">
        <f t="shared" ref="H59:H64" si="34">H5</f>
        <v>2015</v>
      </c>
      <c r="I59" s="38">
        <f t="shared" ref="I59:I60" si="35">C35</f>
        <v>0.23</v>
      </c>
      <c r="J59" s="204"/>
      <c r="K59" s="204"/>
      <c r="N59" s="1" t="s">
        <v>57</v>
      </c>
      <c r="O59" s="1">
        <f t="shared" ref="O59:O64" si="36">O5</f>
        <v>2015</v>
      </c>
      <c r="P59" s="38">
        <f t="shared" si="33"/>
        <v>0.23</v>
      </c>
      <c r="Q59" s="1"/>
    </row>
    <row r="60" spans="1:17" x14ac:dyDescent="0.15">
      <c r="A60" s="2" t="s">
        <v>19</v>
      </c>
      <c r="B60" s="17">
        <f>ROUND(VLOOKUP(B$39&amp;"_1",管理者用人口入力シート!A:X,D60,FALSE),0)</f>
        <v>3</v>
      </c>
      <c r="C60" s="17">
        <f>ROUND(VLOOKUP(B$39&amp;"_2",管理者用人口入力シート!A:X,D60,FALSE),0)</f>
        <v>21</v>
      </c>
      <c r="D60" s="2">
        <v>23</v>
      </c>
      <c r="G60" s="1" t="s">
        <v>62</v>
      </c>
      <c r="H60" s="1">
        <f t="shared" si="34"/>
        <v>2020</v>
      </c>
      <c r="I60" s="38">
        <f t="shared" si="35"/>
        <v>0.25</v>
      </c>
      <c r="J60" s="204"/>
      <c r="K60" s="204"/>
      <c r="N60" s="1" t="s">
        <v>62</v>
      </c>
      <c r="O60" s="1">
        <f t="shared" si="36"/>
        <v>2020</v>
      </c>
      <c r="P60" s="38">
        <f t="shared" si="33"/>
        <v>0.25</v>
      </c>
      <c r="Q60" s="1"/>
    </row>
    <row r="61" spans="1:17" x14ac:dyDescent="0.15">
      <c r="A61" s="2" t="s">
        <v>20</v>
      </c>
      <c r="B61" s="17">
        <f>ROUND(VLOOKUP(B$39&amp;"_1",管理者用人口入力シート!A:X,D61,FALSE),0)</f>
        <v>1</v>
      </c>
      <c r="C61" s="17">
        <f>ROUND(VLOOKUP(B$39&amp;"_2",管理者用人口入力シート!A:X,D61,FALSE),0)</f>
        <v>3</v>
      </c>
      <c r="D61" s="2">
        <v>24</v>
      </c>
      <c r="G61" s="1" t="s">
        <v>106</v>
      </c>
      <c r="H61" s="1">
        <f t="shared" si="34"/>
        <v>2025</v>
      </c>
      <c r="I61" s="38">
        <f>ROUND((SUM(H84:I89)/SUM(H69:I89)),2)</f>
        <v>0.28999999999999998</v>
      </c>
      <c r="J61" s="204"/>
      <c r="K61" s="204"/>
      <c r="N61" s="1" t="s">
        <v>106</v>
      </c>
      <c r="O61" s="1">
        <f t="shared" si="36"/>
        <v>2025</v>
      </c>
      <c r="P61" s="38">
        <f t="shared" si="33"/>
        <v>0.28999999999999998</v>
      </c>
      <c r="Q61" s="38">
        <f>ROUND((SUM(O84:P89)/SUM(O69:P89)),2)</f>
        <v>0.28999999999999998</v>
      </c>
    </row>
    <row r="62" spans="1:17" x14ac:dyDescent="0.15">
      <c r="G62" s="1" t="s">
        <v>107</v>
      </c>
      <c r="H62" s="1">
        <f t="shared" si="34"/>
        <v>2030</v>
      </c>
      <c r="I62" s="38">
        <f>ROUND((SUM(H108:I113)/SUM(H93:I113)),2)</f>
        <v>0.35</v>
      </c>
      <c r="J62" s="204"/>
      <c r="K62" s="204"/>
      <c r="N62" s="1" t="s">
        <v>107</v>
      </c>
      <c r="O62" s="1">
        <f t="shared" si="36"/>
        <v>2030</v>
      </c>
      <c r="P62" s="38">
        <f t="shared" si="33"/>
        <v>0.35</v>
      </c>
      <c r="Q62" s="38">
        <f>ROUND((SUM(O108:P113)/SUM(O93:P113)),2)</f>
        <v>0.35</v>
      </c>
    </row>
    <row r="63" spans="1:17" x14ac:dyDescent="0.15">
      <c r="A63" s="2" t="s">
        <v>384</v>
      </c>
      <c r="B63" s="314">
        <f>管理者入力シート!B6</f>
        <v>2015</v>
      </c>
      <c r="C63" s="315"/>
      <c r="D63" s="2" t="s">
        <v>114</v>
      </c>
      <c r="G63" s="1" t="s">
        <v>108</v>
      </c>
      <c r="H63" s="1">
        <f t="shared" si="34"/>
        <v>2035</v>
      </c>
      <c r="I63" s="38">
        <f>ROUND((SUM(H132:I137)/SUM(H117:I137)),2)</f>
        <v>0.39</v>
      </c>
      <c r="J63" s="204"/>
      <c r="K63" s="204"/>
      <c r="N63" s="1" t="s">
        <v>108</v>
      </c>
      <c r="O63" s="1">
        <f t="shared" si="36"/>
        <v>2035</v>
      </c>
      <c r="P63" s="38">
        <f t="shared" si="33"/>
        <v>0.39</v>
      </c>
      <c r="Q63" s="38">
        <f>ROUND((SUM(O132:P137)/SUM(O117:P137)),2)</f>
        <v>0.39</v>
      </c>
    </row>
    <row r="64" spans="1:17" x14ac:dyDescent="0.15">
      <c r="A64" s="2" t="s">
        <v>115</v>
      </c>
      <c r="B64" s="18" t="s">
        <v>21</v>
      </c>
      <c r="C64" s="18" t="s">
        <v>22</v>
      </c>
      <c r="G64" s="1" t="s">
        <v>109</v>
      </c>
      <c r="H64" s="1">
        <f t="shared" si="34"/>
        <v>2040</v>
      </c>
      <c r="I64" s="38">
        <f>ROUND((SUM(H156:I161)/SUM(H141:I161)),2)</f>
        <v>0.4</v>
      </c>
      <c r="J64" s="204"/>
      <c r="K64" s="204"/>
      <c r="N64" s="1" t="s">
        <v>109</v>
      </c>
      <c r="O64" s="1">
        <f t="shared" si="36"/>
        <v>2040</v>
      </c>
      <c r="P64" s="38">
        <f t="shared" si="33"/>
        <v>0.4</v>
      </c>
      <c r="Q64" s="38">
        <f>ROUND((SUM(O156:P161)/SUM(O141:P161)),2)</f>
        <v>0.39</v>
      </c>
    </row>
    <row r="65" spans="1:21" x14ac:dyDescent="0.15">
      <c r="A65" s="2" t="s">
        <v>0</v>
      </c>
      <c r="B65" s="17">
        <f>ROUND(VLOOKUP(B$63&amp;"_1",管理者用人口入力シート!A:X,D65,FALSE),0)</f>
        <v>43</v>
      </c>
      <c r="C65" s="17">
        <f>ROUND(VLOOKUP(B$63&amp;"_2",管理者用人口入力シート!A:X,D65,FALSE),0)</f>
        <v>41</v>
      </c>
      <c r="D65" s="2">
        <v>4</v>
      </c>
    </row>
    <row r="66" spans="1:21" x14ac:dyDescent="0.15">
      <c r="A66" s="2" t="s">
        <v>1</v>
      </c>
      <c r="B66" s="17">
        <f>ROUND(VLOOKUP(B$63&amp;"_1",管理者用人口入力シート!A:X,D66,FALSE),0)</f>
        <v>60</v>
      </c>
      <c r="C66" s="17">
        <f>ROUND(VLOOKUP(B$63&amp;"_2",管理者用人口入力シート!A:X,D66,FALSE),0)</f>
        <v>49</v>
      </c>
      <c r="D66" s="2">
        <v>5</v>
      </c>
      <c r="G66" s="69" t="s">
        <v>113</v>
      </c>
      <c r="N66" s="69" t="s">
        <v>113</v>
      </c>
    </row>
    <row r="67" spans="1:21" x14ac:dyDescent="0.15">
      <c r="A67" s="2" t="s">
        <v>2</v>
      </c>
      <c r="B67" s="17">
        <f>ROUND(VLOOKUP(B$63&amp;"_1",管理者用人口入力シート!A:X,D67,FALSE),0)</f>
        <v>84</v>
      </c>
      <c r="C67" s="17">
        <f>ROUND(VLOOKUP(B$63&amp;"_2",管理者用人口入力シート!A:X,D67,FALSE),0)</f>
        <v>57</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59</v>
      </c>
      <c r="C68" s="17">
        <f>ROUND(VLOOKUP(B$63&amp;"_2",管理者用人口入力シート!A:X,D68,FALSE),0)</f>
        <v>59</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51</v>
      </c>
      <c r="C69" s="17">
        <f>ROUND(VLOOKUP(B$63&amp;"_2",管理者用人口入力シート!A:X,D69,FALSE),0)</f>
        <v>44</v>
      </c>
      <c r="D69" s="2">
        <v>8</v>
      </c>
      <c r="G69" s="2" t="s">
        <v>0</v>
      </c>
      <c r="H69" s="17">
        <f>ROUND(VLOOKUP(H$67&amp;"_1",管理者用人口入力シート!BH:CE,J69,FALSE),0)</f>
        <v>21</v>
      </c>
      <c r="I69" s="17">
        <f>ROUND(VLOOKUP(H$67&amp;"_2",管理者用人口入力シート!BH:CE,J69,FALSE),0)</f>
        <v>27</v>
      </c>
      <c r="J69" s="2">
        <v>4</v>
      </c>
      <c r="K69" s="12"/>
      <c r="N69" s="2" t="s">
        <v>0</v>
      </c>
      <c r="O69" s="17">
        <f>ROUND(VLOOKUP(O$67&amp;"_1",管理者用人口入力シート!CO:DL,Q69,FALSE),0)</f>
        <v>22</v>
      </c>
      <c r="P69" s="17">
        <f>ROUND(VLOOKUP(O$67&amp;"_2",管理者用人口入力シート!CO:DL,Q69,FALSE),0)</f>
        <v>28</v>
      </c>
      <c r="Q69" s="2">
        <v>4</v>
      </c>
      <c r="U69" s="85"/>
    </row>
    <row r="70" spans="1:21" x14ac:dyDescent="0.15">
      <c r="A70" s="2" t="s">
        <v>5</v>
      </c>
      <c r="B70" s="17">
        <f>ROUND(VLOOKUP(B$63&amp;"_1",管理者用人口入力シート!A:X,D70,FALSE),0)</f>
        <v>60</v>
      </c>
      <c r="C70" s="17">
        <f>ROUND(VLOOKUP(B$63&amp;"_2",管理者用人口入力シート!A:X,D70,FALSE),0)</f>
        <v>66</v>
      </c>
      <c r="D70" s="2">
        <v>9</v>
      </c>
      <c r="G70" s="2" t="s">
        <v>1</v>
      </c>
      <c r="H70" s="17">
        <f>ROUND(VLOOKUP(H$67&amp;"_1",管理者用人口入力シート!BH:CE,J70,FALSE),0)</f>
        <v>32</v>
      </c>
      <c r="I70" s="17">
        <f>ROUND(VLOOKUP(H$67&amp;"_2",管理者用人口入力シート!BH:CE,J70,FALSE),0)</f>
        <v>41</v>
      </c>
      <c r="J70" s="2">
        <v>5</v>
      </c>
      <c r="K70" s="12"/>
      <c r="N70" s="2" t="s">
        <v>1</v>
      </c>
      <c r="O70" s="17">
        <f>ROUND(VLOOKUP(O$67&amp;"_1",管理者用人口入力シート!CO:DL,Q70,FALSE),0)</f>
        <v>32</v>
      </c>
      <c r="P70" s="17">
        <f>ROUND(VLOOKUP(O$67&amp;"_2",管理者用人口入力シート!CO:DL,Q70,FALSE),0)</f>
        <v>41</v>
      </c>
      <c r="Q70" s="2">
        <v>5</v>
      </c>
      <c r="U70" s="85"/>
    </row>
    <row r="71" spans="1:21" x14ac:dyDescent="0.15">
      <c r="A71" s="2" t="s">
        <v>6</v>
      </c>
      <c r="B71" s="17">
        <f>ROUND(VLOOKUP(B$63&amp;"_1",管理者用人口入力シート!A:X,D71,FALSE),0)</f>
        <v>71</v>
      </c>
      <c r="C71" s="17">
        <f>ROUND(VLOOKUP(B$63&amp;"_2",管理者用人口入力シート!A:X,D71,FALSE),0)</f>
        <v>72</v>
      </c>
      <c r="D71" s="2">
        <v>10</v>
      </c>
      <c r="G71" s="2" t="s">
        <v>2</v>
      </c>
      <c r="H71" s="17">
        <f>ROUND(VLOOKUP(H$67&amp;"_1",管理者用人口入力シート!BH:CE,J71,FALSE),0)</f>
        <v>52</v>
      </c>
      <c r="I71" s="17">
        <f>ROUND(VLOOKUP(H$67&amp;"_2",管理者用人口入力シート!BH:CE,J71,FALSE),0)</f>
        <v>39</v>
      </c>
      <c r="J71" s="2">
        <v>6</v>
      </c>
      <c r="K71" s="12"/>
      <c r="N71" s="2" t="s">
        <v>2</v>
      </c>
      <c r="O71" s="17">
        <f>ROUND(VLOOKUP(O$67&amp;"_1",管理者用人口入力シート!CO:DL,Q71,FALSE),0)</f>
        <v>53</v>
      </c>
      <c r="P71" s="17">
        <f>ROUND(VLOOKUP(O$67&amp;"_2",管理者用人口入力シート!CO:DL,Q71,FALSE),0)</f>
        <v>40</v>
      </c>
      <c r="Q71" s="2">
        <v>6</v>
      </c>
      <c r="U71" s="85"/>
    </row>
    <row r="72" spans="1:21" x14ac:dyDescent="0.15">
      <c r="A72" s="2" t="s">
        <v>7</v>
      </c>
      <c r="B72" s="17">
        <f>ROUND(VLOOKUP(B$63&amp;"_1",管理者用人口入力シート!A:X,D72,FALSE),0)</f>
        <v>83</v>
      </c>
      <c r="C72" s="17">
        <f>ROUND(VLOOKUP(B$63&amp;"_2",管理者用人口入力シート!A:X,D72,FALSE),0)</f>
        <v>69</v>
      </c>
      <c r="D72" s="2">
        <v>11</v>
      </c>
      <c r="G72" s="2" t="s">
        <v>3</v>
      </c>
      <c r="H72" s="17">
        <f>ROUND(VLOOKUP(H$67&amp;"_1",管理者用人口入力シート!BH:CE,J72,FALSE),0)</f>
        <v>51</v>
      </c>
      <c r="I72" s="17">
        <f>ROUND(VLOOKUP(H$67&amp;"_2",管理者用人口入力シート!BH:CE,J72,FALSE),0)</f>
        <v>36</v>
      </c>
      <c r="J72" s="2">
        <v>7</v>
      </c>
      <c r="K72" s="12"/>
      <c r="N72" s="2" t="s">
        <v>3</v>
      </c>
      <c r="O72" s="17">
        <f>ROUND(VLOOKUP(O$67&amp;"_1",管理者用人口入力シート!CO:DL,Q72,FALSE),0)</f>
        <v>51</v>
      </c>
      <c r="P72" s="17">
        <f>ROUND(VLOOKUP(O$67&amp;"_2",管理者用人口入力シート!CO:DL,Q72,FALSE),0)</f>
        <v>36</v>
      </c>
      <c r="Q72" s="2">
        <v>7</v>
      </c>
      <c r="U72" s="85"/>
    </row>
    <row r="73" spans="1:21" x14ac:dyDescent="0.15">
      <c r="A73" s="2" t="s">
        <v>8</v>
      </c>
      <c r="B73" s="17">
        <f>ROUND(VLOOKUP(B$63&amp;"_1",管理者用人口入力シート!A:X,D73,FALSE),0)</f>
        <v>91</v>
      </c>
      <c r="C73" s="17">
        <f>ROUND(VLOOKUP(B$63&amp;"_2",管理者用人口入力シート!A:X,D73,FALSE),0)</f>
        <v>86</v>
      </c>
      <c r="D73" s="2">
        <v>12</v>
      </c>
      <c r="G73" s="2" t="s">
        <v>4</v>
      </c>
      <c r="H73" s="17">
        <f>ROUND(VLOOKUP(H$67&amp;"_1",管理者用人口入力シート!BH:CE,J73,FALSE),0)</f>
        <v>42</v>
      </c>
      <c r="I73" s="17">
        <f>ROUND(VLOOKUP(H$67&amp;"_2",管理者用人口入力シート!BH:CE,J73,FALSE),0)</f>
        <v>27</v>
      </c>
      <c r="J73" s="2">
        <v>8</v>
      </c>
      <c r="K73" s="12"/>
      <c r="N73" s="2" t="s">
        <v>4</v>
      </c>
      <c r="O73" s="17">
        <f>ROUND(VLOOKUP(O$67&amp;"_1",管理者用人口入力シート!CO:DL,Q73,FALSE),0)</f>
        <v>42</v>
      </c>
      <c r="P73" s="17">
        <f>ROUND(VLOOKUP(O$67&amp;"_2",管理者用人口入力シート!CO:DL,Q73,FALSE),0)</f>
        <v>27</v>
      </c>
      <c r="Q73" s="2">
        <v>8</v>
      </c>
      <c r="U73" s="85"/>
    </row>
    <row r="74" spans="1:21" x14ac:dyDescent="0.15">
      <c r="A74" s="2" t="s">
        <v>9</v>
      </c>
      <c r="B74" s="17">
        <f>ROUND(VLOOKUP(B$63&amp;"_1",管理者用人口入力シート!A:X,D74,FALSE),0)</f>
        <v>77</v>
      </c>
      <c r="C74" s="17">
        <f>ROUND(VLOOKUP(B$63&amp;"_2",管理者用人口入力シート!A:X,D74,FALSE),0)</f>
        <v>73</v>
      </c>
      <c r="D74" s="2">
        <v>13</v>
      </c>
      <c r="G74" s="2" t="s">
        <v>5</v>
      </c>
      <c r="H74" s="17">
        <f>ROUND(VLOOKUP(H$67&amp;"_1",管理者用人口入力シート!BH:CE,J74,FALSE),0)</f>
        <v>20</v>
      </c>
      <c r="I74" s="17">
        <f>ROUND(VLOOKUP(H$67&amp;"_2",管理者用人口入力シート!BH:CE,J74,FALSE),0)</f>
        <v>26</v>
      </c>
      <c r="J74" s="2">
        <v>9</v>
      </c>
      <c r="K74" s="12"/>
      <c r="N74" s="2" t="s">
        <v>5</v>
      </c>
      <c r="O74" s="17">
        <f>ROUND(VLOOKUP(O$67&amp;"_1",管理者用人口入力シート!CO:DL,Q74,FALSE),0)</f>
        <v>22</v>
      </c>
      <c r="P74" s="17">
        <f>ROUND(VLOOKUP(O$67&amp;"_2",管理者用人口入力シート!CO:DL,Q74,FALSE),0)</f>
        <v>28</v>
      </c>
      <c r="Q74" s="2">
        <v>9</v>
      </c>
      <c r="U74" s="85"/>
    </row>
    <row r="75" spans="1:21" x14ac:dyDescent="0.15">
      <c r="A75" s="2" t="s">
        <v>10</v>
      </c>
      <c r="B75" s="17">
        <f>ROUND(VLOOKUP(B$63&amp;"_1",管理者用人口入力シート!A:X,D75,FALSE),0)</f>
        <v>102</v>
      </c>
      <c r="C75" s="17">
        <f>ROUND(VLOOKUP(B$63&amp;"_2",管理者用人口入力シート!A:X,D75,FALSE),0)</f>
        <v>100</v>
      </c>
      <c r="D75" s="2">
        <v>14</v>
      </c>
      <c r="G75" s="2" t="s">
        <v>6</v>
      </c>
      <c r="H75" s="17">
        <f>ROUND(VLOOKUP(H$67&amp;"_1",管理者用人口入力シート!BH:CE,J75,FALSE),0)</f>
        <v>27</v>
      </c>
      <c r="I75" s="17">
        <f>ROUND(VLOOKUP(H$67&amp;"_2",管理者用人口入力シート!BH:CE,J75,FALSE),0)</f>
        <v>27</v>
      </c>
      <c r="J75" s="2">
        <v>10</v>
      </c>
      <c r="K75" s="12"/>
      <c r="N75" s="2" t="s">
        <v>6</v>
      </c>
      <c r="O75" s="17">
        <f>ROUND(VLOOKUP(O$67&amp;"_1",管理者用人口入力シート!CO:DL,Q75,FALSE),0)</f>
        <v>27</v>
      </c>
      <c r="P75" s="17">
        <f>ROUND(VLOOKUP(O$67&amp;"_2",管理者用人口入力シート!CO:DL,Q75,FALSE),0)</f>
        <v>27</v>
      </c>
      <c r="Q75" s="2">
        <v>10</v>
      </c>
      <c r="U75" s="85"/>
    </row>
    <row r="76" spans="1:21" x14ac:dyDescent="0.15">
      <c r="A76" s="2" t="s">
        <v>11</v>
      </c>
      <c r="B76" s="17">
        <f>ROUND(VLOOKUP(B$63&amp;"_1",管理者用人口入力シート!A:X,D76,FALSE),0)</f>
        <v>142</v>
      </c>
      <c r="C76" s="17">
        <f>ROUND(VLOOKUP(B$63&amp;"_2",管理者用人口入力シート!A:X,D76,FALSE),0)</f>
        <v>165</v>
      </c>
      <c r="D76" s="2">
        <v>15</v>
      </c>
      <c r="G76" s="2" t="s">
        <v>7</v>
      </c>
      <c r="H76" s="17">
        <f>ROUND(VLOOKUP(H$67&amp;"_1",管理者用人口入力シート!BH:CE,J76,FALSE),0)</f>
        <v>50</v>
      </c>
      <c r="I76" s="17">
        <f>ROUND(VLOOKUP(H$67&amp;"_2",管理者用人口入力シート!BH:CE,J76,FALSE),0)</f>
        <v>54</v>
      </c>
      <c r="J76" s="2">
        <v>11</v>
      </c>
      <c r="K76" s="12"/>
      <c r="N76" s="2" t="s">
        <v>7</v>
      </c>
      <c r="O76" s="17">
        <f>ROUND(VLOOKUP(O$67&amp;"_1",管理者用人口入力シート!CO:DL,Q76,FALSE),0)</f>
        <v>50</v>
      </c>
      <c r="P76" s="17">
        <f>ROUND(VLOOKUP(O$67&amp;"_2",管理者用人口入力シート!CO:DL,Q76,FALSE),0)</f>
        <v>54</v>
      </c>
      <c r="Q76" s="2">
        <v>11</v>
      </c>
      <c r="U76" s="85"/>
    </row>
    <row r="77" spans="1:21" x14ac:dyDescent="0.15">
      <c r="A77" s="2" t="s">
        <v>12</v>
      </c>
      <c r="B77" s="17">
        <f>ROUND(VLOOKUP(B$63&amp;"_1",管理者用人口入力シート!A:X,D77,FALSE),0)</f>
        <v>200</v>
      </c>
      <c r="C77" s="17">
        <f>ROUND(VLOOKUP(B$63&amp;"_2",管理者用人口入力シート!A:X,D77,FALSE),0)</f>
        <v>194</v>
      </c>
      <c r="D77" s="2">
        <v>16</v>
      </c>
      <c r="G77" s="2" t="s">
        <v>8</v>
      </c>
      <c r="H77" s="17">
        <f>ROUND(VLOOKUP(H$67&amp;"_1",管理者用人口入力シート!BH:CE,J77,FALSE),0)</f>
        <v>65</v>
      </c>
      <c r="I77" s="17">
        <f>ROUND(VLOOKUP(H$67&amp;"_2",管理者用人口入力シート!BH:CE,J77,FALSE),0)</f>
        <v>68</v>
      </c>
      <c r="J77" s="2">
        <v>12</v>
      </c>
      <c r="K77" s="12"/>
      <c r="N77" s="2" t="s">
        <v>8</v>
      </c>
      <c r="O77" s="17">
        <f>ROUND(VLOOKUP(O$67&amp;"_1",管理者用人口入力シート!CO:DL,Q77,FALSE),0)</f>
        <v>65</v>
      </c>
      <c r="P77" s="17">
        <f>ROUND(VLOOKUP(O$67&amp;"_2",管理者用人口入力シート!CO:DL,Q77,FALSE),0)</f>
        <v>69</v>
      </c>
      <c r="Q77" s="2">
        <v>12</v>
      </c>
      <c r="U77" s="85"/>
    </row>
    <row r="78" spans="1:21" x14ac:dyDescent="0.15">
      <c r="A78" s="2" t="s">
        <v>13</v>
      </c>
      <c r="B78" s="17">
        <f>ROUND(VLOOKUP(B$63&amp;"_1",管理者用人口入力シート!A:X,D78,FALSE),0)</f>
        <v>177</v>
      </c>
      <c r="C78" s="17">
        <f>ROUND(VLOOKUP(B$63&amp;"_2",管理者用人口入力シート!A:X,D78,FALSE),0)</f>
        <v>189</v>
      </c>
      <c r="D78" s="2">
        <v>17</v>
      </c>
      <c r="G78" s="2" t="s">
        <v>9</v>
      </c>
      <c r="H78" s="17">
        <f>ROUND(VLOOKUP(H$67&amp;"_1",管理者用人口入力シート!BH:CE,J78,FALSE),0)</f>
        <v>81</v>
      </c>
      <c r="I78" s="17">
        <f>ROUND(VLOOKUP(H$67&amp;"_2",管理者用人口入力シート!BH:CE,J78,FALSE),0)</f>
        <v>72</v>
      </c>
      <c r="J78" s="2">
        <v>13</v>
      </c>
      <c r="K78" s="12"/>
      <c r="N78" s="2" t="s">
        <v>9</v>
      </c>
      <c r="O78" s="17">
        <f>ROUND(VLOOKUP(O$67&amp;"_1",管理者用人口入力シート!CO:DL,Q78,FALSE),0)</f>
        <v>81</v>
      </c>
      <c r="P78" s="17">
        <f>ROUND(VLOOKUP(O$67&amp;"_2",管理者用人口入力シート!CO:DL,Q78,FALSE),0)</f>
        <v>72</v>
      </c>
      <c r="Q78" s="2">
        <v>13</v>
      </c>
      <c r="U78" s="85"/>
    </row>
    <row r="79" spans="1:21" x14ac:dyDescent="0.15">
      <c r="A79" s="2" t="s">
        <v>14</v>
      </c>
      <c r="B79" s="17">
        <f>ROUND(VLOOKUP(B$63&amp;"_1",管理者用人口入力シート!A:X,D79,FALSE),0)</f>
        <v>119</v>
      </c>
      <c r="C79" s="17">
        <f>ROUND(VLOOKUP(B$63&amp;"_2",管理者用人口入力シート!A:X,D79,FALSE),0)</f>
        <v>149</v>
      </c>
      <c r="D79" s="2">
        <v>18</v>
      </c>
      <c r="G79" s="2" t="s">
        <v>10</v>
      </c>
      <c r="H79" s="17">
        <f>ROUND(VLOOKUP(H$67&amp;"_1",管理者用人口入力シート!BH:CE,J79,FALSE),0)</f>
        <v>94</v>
      </c>
      <c r="I79" s="17">
        <f>ROUND(VLOOKUP(H$67&amp;"_2",管理者用人口入力シート!BH:CE,J79,FALSE),0)</f>
        <v>83</v>
      </c>
      <c r="J79" s="2">
        <v>14</v>
      </c>
      <c r="K79" s="12"/>
      <c r="N79" s="2" t="s">
        <v>10</v>
      </c>
      <c r="O79" s="17">
        <f>ROUND(VLOOKUP(O$67&amp;"_1",管理者用人口入力シート!CO:DL,Q79,FALSE),0)</f>
        <v>94</v>
      </c>
      <c r="P79" s="17">
        <f>ROUND(VLOOKUP(O$67&amp;"_2",管理者用人口入力シート!CO:DL,Q79,FALSE),0)</f>
        <v>83</v>
      </c>
      <c r="Q79" s="2">
        <v>14</v>
      </c>
      <c r="U79" s="85"/>
    </row>
    <row r="80" spans="1:21" x14ac:dyDescent="0.15">
      <c r="A80" s="2" t="s">
        <v>15</v>
      </c>
      <c r="B80" s="17">
        <f>ROUND(VLOOKUP(B$63&amp;"_1",管理者用人口入力シート!A:X,D80,FALSE),0)</f>
        <v>100</v>
      </c>
      <c r="C80" s="17">
        <f>ROUND(VLOOKUP(B$63&amp;"_2",管理者用人口入力シート!A:X,D80,FALSE),0)</f>
        <v>139</v>
      </c>
      <c r="D80" s="2">
        <v>19</v>
      </c>
      <c r="G80" s="2" t="s">
        <v>11</v>
      </c>
      <c r="H80" s="17">
        <f>ROUND(VLOOKUP(H$67&amp;"_1",管理者用人口入力シート!BH:CE,J80,FALSE),0)</f>
        <v>75</v>
      </c>
      <c r="I80" s="17">
        <f>ROUND(VLOOKUP(H$67&amp;"_2",管理者用人口入力シート!BH:CE,J80,FALSE),0)</f>
        <v>73</v>
      </c>
      <c r="J80" s="2">
        <v>15</v>
      </c>
      <c r="K80" s="12"/>
      <c r="N80" s="2" t="s">
        <v>11</v>
      </c>
      <c r="O80" s="17">
        <f>ROUND(VLOOKUP(O$67&amp;"_1",管理者用人口入力シート!CO:DL,Q80,FALSE),0)</f>
        <v>75</v>
      </c>
      <c r="P80" s="17">
        <f>ROUND(VLOOKUP(O$67&amp;"_2",管理者用人口入力シート!CO:DL,Q80,FALSE),0)</f>
        <v>73</v>
      </c>
      <c r="Q80" s="2">
        <v>15</v>
      </c>
      <c r="U80" s="85"/>
    </row>
    <row r="81" spans="1:21" x14ac:dyDescent="0.15">
      <c r="A81" s="2" t="s">
        <v>16</v>
      </c>
      <c r="B81" s="17">
        <f>ROUND(VLOOKUP(B$63&amp;"_1",管理者用人口入力シート!A:X,D81,FALSE),0)</f>
        <v>93</v>
      </c>
      <c r="C81" s="17">
        <f>ROUND(VLOOKUP(B$63&amp;"_2",管理者用人口入力シート!A:X,D81,FALSE),0)</f>
        <v>159</v>
      </c>
      <c r="D81" s="2">
        <v>20</v>
      </c>
      <c r="G81" s="2" t="s">
        <v>12</v>
      </c>
      <c r="H81" s="17">
        <f>ROUND(VLOOKUP(H$67&amp;"_1",管理者用人口入力シート!BH:CE,J81,FALSE),0)</f>
        <v>99</v>
      </c>
      <c r="I81" s="17">
        <f>ROUND(VLOOKUP(H$67&amp;"_2",管理者用人口入力シート!BH:CE,J81,FALSE),0)</f>
        <v>103</v>
      </c>
      <c r="J81" s="2">
        <v>16</v>
      </c>
      <c r="K81" s="12"/>
      <c r="N81" s="2" t="s">
        <v>12</v>
      </c>
      <c r="O81" s="17">
        <f>ROUND(VLOOKUP(O$67&amp;"_1",管理者用人口入力シート!CO:DL,Q81,FALSE),0)</f>
        <v>99</v>
      </c>
      <c r="P81" s="17">
        <f>ROUND(VLOOKUP(O$67&amp;"_2",管理者用人口入力シート!CO:DL,Q81,FALSE),0)</f>
        <v>103</v>
      </c>
      <c r="Q81" s="2">
        <v>16</v>
      </c>
      <c r="U81" s="85"/>
    </row>
    <row r="82" spans="1:21" x14ac:dyDescent="0.15">
      <c r="A82" s="2" t="s">
        <v>17</v>
      </c>
      <c r="B82" s="17">
        <f>ROUND(VLOOKUP(B$63&amp;"_1",管理者用人口入力シート!A:X,D82,FALSE),0)</f>
        <v>81</v>
      </c>
      <c r="C82" s="17">
        <f>ROUND(VLOOKUP(B$63&amp;"_2",管理者用人口入力シート!A:X,D82,FALSE),0)</f>
        <v>135</v>
      </c>
      <c r="D82" s="2">
        <v>21</v>
      </c>
      <c r="G82" s="2" t="s">
        <v>13</v>
      </c>
      <c r="H82" s="17">
        <f>ROUND(VLOOKUP(H$67&amp;"_1",管理者用人口入力シート!BH:CE,J82,FALSE),0)</f>
        <v>133</v>
      </c>
      <c r="I82" s="17">
        <f>ROUND(VLOOKUP(H$67&amp;"_2",管理者用人口入力シート!BH:CE,J82,FALSE),0)</f>
        <v>153</v>
      </c>
      <c r="J82" s="2">
        <v>17</v>
      </c>
      <c r="K82" s="12"/>
      <c r="N82" s="2" t="s">
        <v>13</v>
      </c>
      <c r="O82" s="17">
        <f>ROUND(VLOOKUP(O$67&amp;"_1",管理者用人口入力シート!CO:DL,Q82,FALSE),0)</f>
        <v>133</v>
      </c>
      <c r="P82" s="17">
        <f>ROUND(VLOOKUP(O$67&amp;"_2",管理者用人口入力シート!CO:DL,Q82,FALSE),0)</f>
        <v>153</v>
      </c>
      <c r="Q82" s="2">
        <v>17</v>
      </c>
      <c r="U82" s="85"/>
    </row>
    <row r="83" spans="1:21" x14ac:dyDescent="0.15">
      <c r="A83" s="2" t="s">
        <v>18</v>
      </c>
      <c r="B83" s="17">
        <f>ROUND(VLOOKUP(B$63&amp;"_1",管理者用人口入力シート!A:X,D83,FALSE),0)</f>
        <v>24</v>
      </c>
      <c r="C83" s="17">
        <f>ROUND(VLOOKUP(B$63&amp;"_2",管理者用人口入力シート!A:X,D83,FALSE),0)</f>
        <v>62</v>
      </c>
      <c r="D83" s="2">
        <v>22</v>
      </c>
      <c r="G83" s="2" t="s">
        <v>14</v>
      </c>
      <c r="H83" s="17">
        <f>ROUND(VLOOKUP(H$67&amp;"_1",管理者用人口入力シート!BH:CE,J83,FALSE),0)</f>
        <v>165</v>
      </c>
      <c r="I83" s="17">
        <f>ROUND(VLOOKUP(H$67&amp;"_2",管理者用人口入力シート!BH:CE,J83,FALSE),0)</f>
        <v>181</v>
      </c>
      <c r="J83" s="2">
        <v>18</v>
      </c>
      <c r="K83" s="12"/>
      <c r="N83" s="2" t="s">
        <v>14</v>
      </c>
      <c r="O83" s="17">
        <f>ROUND(VLOOKUP(O$67&amp;"_1",管理者用人口入力シート!CO:DL,Q83,FALSE),0)</f>
        <v>165</v>
      </c>
      <c r="P83" s="17">
        <f>ROUND(VLOOKUP(O$67&amp;"_2",管理者用人口入力シート!CO:DL,Q83,FALSE),0)</f>
        <v>181</v>
      </c>
      <c r="Q83" s="2">
        <v>18</v>
      </c>
      <c r="U83" s="85"/>
    </row>
    <row r="84" spans="1:21" x14ac:dyDescent="0.15">
      <c r="A84" s="2" t="s">
        <v>19</v>
      </c>
      <c r="B84" s="17">
        <f>ROUND(VLOOKUP(B$63&amp;"_1",管理者用人口入力シート!A:X,D84,FALSE),0)</f>
        <v>7</v>
      </c>
      <c r="C84" s="17">
        <f>ROUND(VLOOKUP(B$63&amp;"_2",管理者用人口入力シート!A:X,D84,FALSE),0)</f>
        <v>17</v>
      </c>
      <c r="D84" s="2">
        <v>23</v>
      </c>
      <c r="G84" s="2" t="s">
        <v>15</v>
      </c>
      <c r="H84" s="17">
        <f>ROUND(VLOOKUP(H$67&amp;"_1",管理者用人口入力シート!BH:CE,J84,FALSE),0)</f>
        <v>140</v>
      </c>
      <c r="I84" s="17">
        <f>ROUND(VLOOKUP(H$67&amp;"_2",管理者用人口入力シート!BH:CE,J84,FALSE),0)</f>
        <v>177</v>
      </c>
      <c r="J84" s="2">
        <v>19</v>
      </c>
      <c r="K84" s="12"/>
      <c r="N84" s="2" t="s">
        <v>15</v>
      </c>
      <c r="O84" s="17">
        <f>ROUND(VLOOKUP(O$67&amp;"_1",管理者用人口入力シート!CO:DL,Q84,FALSE),0)</f>
        <v>140</v>
      </c>
      <c r="P84" s="17">
        <f>ROUND(VLOOKUP(O$67&amp;"_2",管理者用人口入力シート!CO:DL,Q84,FALSE),0)</f>
        <v>177</v>
      </c>
      <c r="Q84" s="2">
        <v>19</v>
      </c>
      <c r="U84" s="85"/>
    </row>
    <row r="85" spans="1:21" x14ac:dyDescent="0.15">
      <c r="A85" s="2" t="s">
        <v>20</v>
      </c>
      <c r="B85" s="17">
        <f>ROUND(VLOOKUP(B$63&amp;"_1",管理者用人口入力シート!A:X,D85,FALSE),0)</f>
        <v>0</v>
      </c>
      <c r="C85" s="17">
        <f>ROUND(VLOOKUP(B$63&amp;"_2",管理者用人口入力シート!A:X,D85,FALSE),0)</f>
        <v>8</v>
      </c>
      <c r="D85" s="2">
        <v>24</v>
      </c>
      <c r="G85" s="2" t="s">
        <v>16</v>
      </c>
      <c r="H85" s="17">
        <f>ROUND(VLOOKUP(H$67&amp;"_1",管理者用人口入力シート!BH:CE,J85,FALSE),0)</f>
        <v>79</v>
      </c>
      <c r="I85" s="17">
        <f>ROUND(VLOOKUP(H$67&amp;"_2",管理者用人口入力シート!BH:CE,J85,FALSE),0)</f>
        <v>129</v>
      </c>
      <c r="J85" s="2">
        <v>20</v>
      </c>
      <c r="K85" s="12"/>
      <c r="N85" s="2" t="s">
        <v>16</v>
      </c>
      <c r="O85" s="17">
        <f>ROUND(VLOOKUP(O$67&amp;"_1",管理者用人口入力シート!CO:DL,Q85,FALSE),0)</f>
        <v>79</v>
      </c>
      <c r="P85" s="17">
        <f>ROUND(VLOOKUP(O$67&amp;"_2",管理者用人口入力シート!CO:DL,Q85,FALSE),0)</f>
        <v>129</v>
      </c>
      <c r="Q85" s="2">
        <v>20</v>
      </c>
      <c r="U85" s="85"/>
    </row>
    <row r="86" spans="1:21" x14ac:dyDescent="0.15">
      <c r="G86" s="2" t="s">
        <v>17</v>
      </c>
      <c r="H86" s="17">
        <f>ROUND(VLOOKUP(H$67&amp;"_1",管理者用人口入力シート!BH:CE,J86,FALSE),0)</f>
        <v>53</v>
      </c>
      <c r="I86" s="17">
        <f>ROUND(VLOOKUP(H$67&amp;"_2",管理者用人口入力シート!BH:CE,J86,FALSE),0)</f>
        <v>102</v>
      </c>
      <c r="J86" s="2">
        <v>21</v>
      </c>
      <c r="K86" s="12"/>
      <c r="N86" s="2" t="s">
        <v>17</v>
      </c>
      <c r="O86" s="17">
        <f>ROUND(VLOOKUP(O$67&amp;"_1",管理者用人口入力シート!CO:DL,Q86,FALSE),0)</f>
        <v>53</v>
      </c>
      <c r="P86" s="17">
        <f>ROUND(VLOOKUP(O$67&amp;"_2",管理者用人口入力シート!CO:DL,Q86,FALSE),0)</f>
        <v>102</v>
      </c>
      <c r="Q86" s="2">
        <v>21</v>
      </c>
      <c r="U86" s="85"/>
    </row>
    <row r="87" spans="1:21" x14ac:dyDescent="0.15">
      <c r="A87" s="2" t="s">
        <v>62</v>
      </c>
      <c r="B87" s="314">
        <f>管理者入力シート!B5</f>
        <v>2020</v>
      </c>
      <c r="C87" s="315"/>
      <c r="D87" s="2" t="s">
        <v>114</v>
      </c>
      <c r="G87" s="2" t="s">
        <v>18</v>
      </c>
      <c r="H87" s="17">
        <f>ROUND(VLOOKUP(H$67&amp;"_1",管理者用人口入力シート!BH:CE,J87,FALSE),0)</f>
        <v>26</v>
      </c>
      <c r="I87" s="17">
        <f>ROUND(VLOOKUP(H$67&amp;"_2",管理者用人口入力シート!BH:CE,J87,FALSE),0)</f>
        <v>71</v>
      </c>
      <c r="J87" s="2">
        <v>22</v>
      </c>
      <c r="K87" s="12"/>
      <c r="N87" s="2" t="s">
        <v>18</v>
      </c>
      <c r="O87" s="17">
        <f>ROUND(VLOOKUP(O$67&amp;"_1",管理者用人口入力シート!CO:DL,Q87,FALSE),0)</f>
        <v>26</v>
      </c>
      <c r="P87" s="17">
        <f>ROUND(VLOOKUP(O$67&amp;"_2",管理者用人口入力シート!CO:DL,Q87,FALSE),0)</f>
        <v>71</v>
      </c>
      <c r="Q87" s="2">
        <v>22</v>
      </c>
      <c r="U87" s="85"/>
    </row>
    <row r="88" spans="1:21" x14ac:dyDescent="0.15">
      <c r="A88" s="2" t="s">
        <v>115</v>
      </c>
      <c r="B88" s="18" t="s">
        <v>21</v>
      </c>
      <c r="C88" s="18" t="s">
        <v>22</v>
      </c>
      <c r="G88" s="2" t="s">
        <v>19</v>
      </c>
      <c r="H88" s="17">
        <f>ROUND(VLOOKUP(H$67&amp;"_1",管理者用人口入力シート!BH:CE,J88,FALSE),0)</f>
        <v>13</v>
      </c>
      <c r="I88" s="17">
        <f>ROUND(VLOOKUP(H$67&amp;"_2",管理者用人口入力シート!BH:CE,J88,FALSE),0)</f>
        <v>31</v>
      </c>
      <c r="J88" s="2">
        <v>23</v>
      </c>
      <c r="K88" s="12"/>
      <c r="N88" s="2" t="s">
        <v>19</v>
      </c>
      <c r="O88" s="17">
        <f>ROUND(VLOOKUP(O$67&amp;"_1",管理者用人口入力シート!CO:DL,Q88,FALSE),0)</f>
        <v>13</v>
      </c>
      <c r="P88" s="17">
        <f>ROUND(VLOOKUP(O$67&amp;"_2",管理者用人口入力シート!CO:DL,Q88,FALSE),0)</f>
        <v>31</v>
      </c>
      <c r="Q88" s="2">
        <v>23</v>
      </c>
      <c r="U88" s="85"/>
    </row>
    <row r="89" spans="1:21" x14ac:dyDescent="0.15">
      <c r="A89" s="2" t="s">
        <v>0</v>
      </c>
      <c r="B89" s="17">
        <f>ROUND(VLOOKUP(B$87&amp;"_1",管理者用人口入力シート!A:X,D89,FALSE),0)</f>
        <v>30</v>
      </c>
      <c r="C89" s="17">
        <f>ROUND(VLOOKUP(B$87&amp;"_2",管理者用人口入力シート!A:X,D89,FALSE),0)</f>
        <v>38</v>
      </c>
      <c r="D89" s="2">
        <v>4</v>
      </c>
      <c r="G89" s="2" t="s">
        <v>20</v>
      </c>
      <c r="H89" s="17">
        <f>ROUND(VLOOKUP(H$67&amp;"_1",管理者用人口入力シート!BH:CE,J89,FALSE),0)</f>
        <v>0</v>
      </c>
      <c r="I89" s="17">
        <f>ROUND(VLOOKUP(H$67&amp;"_2",管理者用人口入力シート!BH:CE,J89,FALSE),0)</f>
        <v>7</v>
      </c>
      <c r="J89" s="2">
        <v>24</v>
      </c>
      <c r="K89" s="12"/>
      <c r="N89" s="2" t="s">
        <v>20</v>
      </c>
      <c r="O89" s="17">
        <f>ROUND(VLOOKUP(O$67&amp;"_1",管理者用人口入力シート!CO:DL,Q89,FALSE),0)</f>
        <v>0</v>
      </c>
      <c r="P89" s="17">
        <f>ROUND(VLOOKUP(O$67&amp;"_2",管理者用人口入力シート!CO:DL,Q89,FALSE),0)</f>
        <v>7</v>
      </c>
      <c r="Q89" s="2">
        <v>24</v>
      </c>
      <c r="U89" s="85"/>
    </row>
    <row r="90" spans="1:21" x14ac:dyDescent="0.15">
      <c r="A90" s="2" t="s">
        <v>1</v>
      </c>
      <c r="B90" s="17">
        <f>ROUND(VLOOKUP(B$87&amp;"_1",管理者用人口入力シート!A:X,D90,FALSE),0)</f>
        <v>49</v>
      </c>
      <c r="C90" s="17">
        <f>ROUND(VLOOKUP(B$87&amp;"_2",管理者用人口入力シート!A:X,D90,FALSE),0)</f>
        <v>43</v>
      </c>
      <c r="D90" s="2">
        <v>5</v>
      </c>
    </row>
    <row r="91" spans="1:21" x14ac:dyDescent="0.15">
      <c r="A91" s="2" t="s">
        <v>2</v>
      </c>
      <c r="B91" s="17">
        <f>ROUND(VLOOKUP(B$87&amp;"_1",管理者用人口入力シート!A:X,D91,FALSE),0)</f>
        <v>63</v>
      </c>
      <c r="C91" s="17">
        <f>ROUND(VLOOKUP(B$87&amp;"_2",管理者用人口入力シート!A:X,D91,FALSE),0)</f>
        <v>46</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67</v>
      </c>
      <c r="C92" s="17">
        <f>ROUND(VLOOKUP(B$87&amp;"_2",管理者用人口入力シート!A:X,D92,FALSE),0)</f>
        <v>44</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29</v>
      </c>
      <c r="C93" s="17">
        <f>ROUND(VLOOKUP(B$87&amp;"_2",管理者用人口入力シート!A:X,D93,FALSE),0)</f>
        <v>32</v>
      </c>
      <c r="D93" s="2">
        <v>8</v>
      </c>
      <c r="G93" s="2" t="s">
        <v>0</v>
      </c>
      <c r="H93" s="17">
        <f>ROUND(VLOOKUP(H$91&amp;"_1",管理者用人口入力シート!BH:CE,J93,FALSE),0)</f>
        <v>14</v>
      </c>
      <c r="I93" s="17">
        <f>ROUND(VLOOKUP(H$91&amp;"_2",管理者用人口入力シート!BH:CE,J93,FALSE),0)</f>
        <v>18</v>
      </c>
      <c r="J93" s="2">
        <v>4</v>
      </c>
      <c r="K93" s="12"/>
      <c r="N93" s="2" t="s">
        <v>0</v>
      </c>
      <c r="O93" s="17">
        <f>ROUND(VLOOKUP(O$91&amp;"_1",管理者用人口入力シート!CO:DL,Q93,FALSE),0)</f>
        <v>16</v>
      </c>
      <c r="P93" s="17">
        <f>ROUND(VLOOKUP(O$91&amp;"_2",管理者用人口入力シート!CO:DL,Q93,FALSE),0)</f>
        <v>20</v>
      </c>
      <c r="Q93" s="2">
        <v>4</v>
      </c>
      <c r="T93" s="85"/>
    </row>
    <row r="94" spans="1:21" x14ac:dyDescent="0.15">
      <c r="A94" s="2" t="s">
        <v>5</v>
      </c>
      <c r="B94" s="17">
        <f>ROUND(VLOOKUP(B$87&amp;"_1",管理者用人口入力シート!A:X,D94,FALSE),0)</f>
        <v>30</v>
      </c>
      <c r="C94" s="17">
        <f>ROUND(VLOOKUP(B$87&amp;"_2",管理者用人口入力シート!A:X,D94,FALSE),0)</f>
        <v>32</v>
      </c>
      <c r="D94" s="2">
        <v>9</v>
      </c>
      <c r="G94" s="2" t="s">
        <v>1</v>
      </c>
      <c r="H94" s="17">
        <f>ROUND(VLOOKUP(H$91&amp;"_1",管理者用人口入力シート!BH:CE,J94,FALSE),0)</f>
        <v>22</v>
      </c>
      <c r="I94" s="17">
        <f>ROUND(VLOOKUP(H$91&amp;"_2",管理者用人口入力シート!BH:CE,J94,FALSE),0)</f>
        <v>29</v>
      </c>
      <c r="J94" s="2">
        <v>5</v>
      </c>
      <c r="K94" s="12"/>
      <c r="N94" s="2" t="s">
        <v>1</v>
      </c>
      <c r="O94" s="17">
        <f>ROUND(VLOOKUP(O$91&amp;"_1",管理者用人口入力シート!CO:DL,Q94,FALSE),0)</f>
        <v>23</v>
      </c>
      <c r="P94" s="17">
        <f>ROUND(VLOOKUP(O$91&amp;"_2",管理者用人口入力シート!CO:DL,Q94,FALSE),0)</f>
        <v>30</v>
      </c>
      <c r="Q94" s="2">
        <v>5</v>
      </c>
      <c r="T94" s="85"/>
    </row>
    <row r="95" spans="1:21" x14ac:dyDescent="0.15">
      <c r="A95" s="2" t="s">
        <v>6</v>
      </c>
      <c r="B95" s="17">
        <f>ROUND(VLOOKUP(B$87&amp;"_1",管理者用人口入力シート!A:X,D95,FALSE),0)</f>
        <v>53</v>
      </c>
      <c r="C95" s="17">
        <f>ROUND(VLOOKUP(B$87&amp;"_2",管理者用人口入力シート!A:X,D95,FALSE),0)</f>
        <v>60</v>
      </c>
      <c r="D95" s="2">
        <v>10</v>
      </c>
      <c r="G95" s="2" t="s">
        <v>2</v>
      </c>
      <c r="H95" s="17">
        <f>ROUND(VLOOKUP(H$91&amp;"_1",管理者用人口入力シート!BH:CE,J95,FALSE),0)</f>
        <v>33</v>
      </c>
      <c r="I95" s="17">
        <f>ROUND(VLOOKUP(H$91&amp;"_2",管理者用人口入力シート!BH:CE,J95,FALSE),0)</f>
        <v>38</v>
      </c>
      <c r="J95" s="2">
        <v>6</v>
      </c>
      <c r="K95" s="12"/>
      <c r="N95" s="2" t="s">
        <v>2</v>
      </c>
      <c r="O95" s="17">
        <f>ROUND(VLOOKUP(O$91&amp;"_1",管理者用人口入力シート!CO:DL,Q95,FALSE),0)</f>
        <v>34</v>
      </c>
      <c r="P95" s="17">
        <f>ROUND(VLOOKUP(O$91&amp;"_2",管理者用人口入力シート!CO:DL,Q95,FALSE),0)</f>
        <v>39</v>
      </c>
      <c r="Q95" s="2">
        <v>6</v>
      </c>
      <c r="T95" s="85"/>
    </row>
    <row r="96" spans="1:21" x14ac:dyDescent="0.15">
      <c r="A96" s="2" t="s">
        <v>7</v>
      </c>
      <c r="B96" s="17">
        <f>ROUND(VLOOKUP(B$87&amp;"_1",管理者用人口入力シート!A:X,D96,FALSE),0)</f>
        <v>64</v>
      </c>
      <c r="C96" s="17">
        <f>ROUND(VLOOKUP(B$87&amp;"_2",管理者用人口入力シート!A:X,D96,FALSE),0)</f>
        <v>68</v>
      </c>
      <c r="D96" s="2">
        <v>11</v>
      </c>
      <c r="G96" s="2" t="s">
        <v>3</v>
      </c>
      <c r="H96" s="17">
        <f>ROUND(VLOOKUP(H$91&amp;"_1",管理者用人口入力シート!BH:CE,J96,FALSE),0)</f>
        <v>42</v>
      </c>
      <c r="I96" s="17">
        <f>ROUND(VLOOKUP(H$91&amp;"_2",管理者用人口入力シート!BH:CE,J96,FALSE),0)</f>
        <v>31</v>
      </c>
      <c r="J96" s="2">
        <v>7</v>
      </c>
      <c r="K96" s="12"/>
      <c r="N96" s="2" t="s">
        <v>3</v>
      </c>
      <c r="O96" s="17">
        <f>ROUND(VLOOKUP(O$91&amp;"_1",管理者用人口入力シート!CO:DL,Q96,FALSE),0)</f>
        <v>43</v>
      </c>
      <c r="P96" s="17">
        <f>ROUND(VLOOKUP(O$91&amp;"_2",管理者用人口入力シート!CO:DL,Q96,FALSE),0)</f>
        <v>32</v>
      </c>
      <c r="Q96" s="2">
        <v>7</v>
      </c>
      <c r="T96" s="85"/>
    </row>
    <row r="97" spans="1:20" x14ac:dyDescent="0.15">
      <c r="A97" s="2" t="s">
        <v>8</v>
      </c>
      <c r="B97" s="17">
        <f>ROUND(VLOOKUP(B$87&amp;"_1",管理者用人口入力シート!A:X,D97,FALSE),0)</f>
        <v>83</v>
      </c>
      <c r="C97" s="17">
        <f>ROUND(VLOOKUP(B$87&amp;"_2",管理者用人口入力シート!A:X,D97,FALSE),0)</f>
        <v>74</v>
      </c>
      <c r="D97" s="2">
        <v>12</v>
      </c>
      <c r="G97" s="2" t="s">
        <v>4</v>
      </c>
      <c r="H97" s="17">
        <f>ROUND(VLOOKUP(H$91&amp;"_1",管理者用人口入力シート!BH:CE,J97,FALSE),0)</f>
        <v>32</v>
      </c>
      <c r="I97" s="17">
        <f>ROUND(VLOOKUP(H$91&amp;"_2",管理者用人口入力シート!BH:CE,J97,FALSE),0)</f>
        <v>22</v>
      </c>
      <c r="J97" s="2">
        <v>8</v>
      </c>
      <c r="K97" s="12"/>
      <c r="N97" s="2" t="s">
        <v>4</v>
      </c>
      <c r="O97" s="17">
        <f>ROUND(VLOOKUP(O$91&amp;"_1",管理者用人口入力シート!CO:DL,Q97,FALSE),0)</f>
        <v>32</v>
      </c>
      <c r="P97" s="17">
        <f>ROUND(VLOOKUP(O$91&amp;"_2",管理者用人口入力シート!CO:DL,Q97,FALSE),0)</f>
        <v>22</v>
      </c>
      <c r="Q97" s="2">
        <v>8</v>
      </c>
      <c r="T97" s="85"/>
    </row>
    <row r="98" spans="1:20" x14ac:dyDescent="0.15">
      <c r="A98" s="2" t="s">
        <v>9</v>
      </c>
      <c r="B98" s="17">
        <f>ROUND(VLOOKUP(B$87&amp;"_1",管理者用人口入力シート!A:X,D98,FALSE),0)</f>
        <v>94</v>
      </c>
      <c r="C98" s="17">
        <f>ROUND(VLOOKUP(B$87&amp;"_2",管理者用人口入力シート!A:X,D98,FALSE),0)</f>
        <v>82</v>
      </c>
      <c r="D98" s="2">
        <v>13</v>
      </c>
      <c r="G98" s="2" t="s">
        <v>5</v>
      </c>
      <c r="H98" s="17">
        <f>ROUND(VLOOKUP(H$91&amp;"_1",管理者用人口入力シート!BH:CE,J98,FALSE),0)</f>
        <v>29</v>
      </c>
      <c r="I98" s="17">
        <f>ROUND(VLOOKUP(H$91&amp;"_2",管理者用人口入力シート!BH:CE,J98,FALSE),0)</f>
        <v>22</v>
      </c>
      <c r="J98" s="2">
        <v>9</v>
      </c>
      <c r="K98" s="12"/>
      <c r="N98" s="2" t="s">
        <v>5</v>
      </c>
      <c r="O98" s="17">
        <f>ROUND(VLOOKUP(O$91&amp;"_1",管理者用人口入力シート!CO:DL,Q98,FALSE),0)</f>
        <v>31</v>
      </c>
      <c r="P98" s="17">
        <f>ROUND(VLOOKUP(O$91&amp;"_2",管理者用人口入力シート!CO:DL,Q98,FALSE),0)</f>
        <v>24</v>
      </c>
      <c r="Q98" s="2">
        <v>9</v>
      </c>
      <c r="T98" s="85"/>
    </row>
    <row r="99" spans="1:20" x14ac:dyDescent="0.15">
      <c r="A99" s="2" t="s">
        <v>10</v>
      </c>
      <c r="B99" s="17">
        <f>ROUND(VLOOKUP(B$87&amp;"_1",管理者用人口入力シート!A:X,D99,FALSE),0)</f>
        <v>75</v>
      </c>
      <c r="C99" s="17">
        <f>ROUND(VLOOKUP(B$87&amp;"_2",管理者用人口入力シート!A:X,D99,FALSE),0)</f>
        <v>71</v>
      </c>
      <c r="D99" s="2">
        <v>14</v>
      </c>
      <c r="G99" s="2" t="s">
        <v>6</v>
      </c>
      <c r="H99" s="17">
        <f>ROUND(VLOOKUP(H$91&amp;"_1",管理者用人口入力シート!BH:CE,J99,FALSE),0)</f>
        <v>18</v>
      </c>
      <c r="I99" s="17">
        <f>ROUND(VLOOKUP(H$91&amp;"_2",管理者用人口入力シート!BH:CE,J99,FALSE),0)</f>
        <v>22</v>
      </c>
      <c r="J99" s="2">
        <v>10</v>
      </c>
      <c r="K99" s="12"/>
      <c r="N99" s="2" t="s">
        <v>6</v>
      </c>
      <c r="O99" s="17">
        <f>ROUND(VLOOKUP(O$91&amp;"_1",管理者用人口入力シート!CO:DL,Q99,FALSE),0)</f>
        <v>19</v>
      </c>
      <c r="P99" s="17">
        <f>ROUND(VLOOKUP(O$91&amp;"_2",管理者用人口入力シート!CO:DL,Q99,FALSE),0)</f>
        <v>24</v>
      </c>
      <c r="Q99" s="2">
        <v>10</v>
      </c>
      <c r="T99" s="85"/>
    </row>
    <row r="100" spans="1:20" x14ac:dyDescent="0.15">
      <c r="A100" s="2" t="s">
        <v>11</v>
      </c>
      <c r="B100" s="17">
        <f>ROUND(VLOOKUP(B$87&amp;"_1",管理者用人口入力シート!A:X,D100,FALSE),0)</f>
        <v>101</v>
      </c>
      <c r="C100" s="17">
        <f>ROUND(VLOOKUP(B$87&amp;"_2",管理者用人口入力シート!A:X,D100,FALSE),0)</f>
        <v>103</v>
      </c>
      <c r="D100" s="2">
        <v>15</v>
      </c>
      <c r="G100" s="2" t="s">
        <v>7</v>
      </c>
      <c r="H100" s="17">
        <f>ROUND(VLOOKUP(H$91&amp;"_1",管理者用人口入力シート!BH:CE,J100,FALSE),0)</f>
        <v>25</v>
      </c>
      <c r="I100" s="17">
        <f>ROUND(VLOOKUP(H$91&amp;"_2",管理者用人口入力シート!BH:CE,J100,FALSE),0)</f>
        <v>25</v>
      </c>
      <c r="J100" s="2">
        <v>11</v>
      </c>
      <c r="K100" s="12"/>
      <c r="N100" s="2" t="s">
        <v>7</v>
      </c>
      <c r="O100" s="17">
        <f>ROUND(VLOOKUP(O$91&amp;"_1",管理者用人口入力シート!CO:DL,Q100,FALSE),0)</f>
        <v>25</v>
      </c>
      <c r="P100" s="17">
        <f>ROUND(VLOOKUP(O$91&amp;"_2",管理者用人口入力シート!CO:DL,Q100,FALSE),0)</f>
        <v>25</v>
      </c>
      <c r="Q100" s="2">
        <v>11</v>
      </c>
      <c r="T100" s="85"/>
    </row>
    <row r="101" spans="1:20" x14ac:dyDescent="0.15">
      <c r="A101" s="2" t="s">
        <v>12</v>
      </c>
      <c r="B101" s="17">
        <f>ROUND(VLOOKUP(B$87&amp;"_1",管理者用人口入力シート!A:X,D101,FALSE),0)</f>
        <v>140</v>
      </c>
      <c r="C101" s="17">
        <f>ROUND(VLOOKUP(B$87&amp;"_2",管理者用人口入力シート!A:X,D101,FALSE),0)</f>
        <v>160</v>
      </c>
      <c r="D101" s="2">
        <v>16</v>
      </c>
      <c r="G101" s="2" t="s">
        <v>8</v>
      </c>
      <c r="H101" s="17">
        <f>ROUND(VLOOKUP(H$91&amp;"_1",管理者用人口入力シート!BH:CE,J101,FALSE),0)</f>
        <v>50</v>
      </c>
      <c r="I101" s="17">
        <f>ROUND(VLOOKUP(H$91&amp;"_2",管理者用人口入力シート!BH:CE,J101,FALSE),0)</f>
        <v>53</v>
      </c>
      <c r="J101" s="2">
        <v>12</v>
      </c>
      <c r="K101" s="12"/>
      <c r="N101" s="2" t="s">
        <v>8</v>
      </c>
      <c r="O101" s="17">
        <f>ROUND(VLOOKUP(O$91&amp;"_1",管理者用人口入力シート!CO:DL,Q101,FALSE),0)</f>
        <v>50</v>
      </c>
      <c r="P101" s="17">
        <f>ROUND(VLOOKUP(O$91&amp;"_2",管理者用人口入力シート!CO:DL,Q101,FALSE),0)</f>
        <v>54</v>
      </c>
      <c r="Q101" s="2">
        <v>12</v>
      </c>
      <c r="T101" s="85"/>
    </row>
    <row r="102" spans="1:20" x14ac:dyDescent="0.15">
      <c r="A102" s="2" t="s">
        <v>13</v>
      </c>
      <c r="B102" s="17">
        <f>ROUND(VLOOKUP(B$87&amp;"_1",管理者用人口入力シート!A:X,D102,FALSE),0)</f>
        <v>186</v>
      </c>
      <c r="C102" s="17">
        <f>ROUND(VLOOKUP(B$87&amp;"_2",管理者用人口入力シート!A:X,D102,FALSE),0)</f>
        <v>185</v>
      </c>
      <c r="D102" s="2">
        <v>17</v>
      </c>
      <c r="G102" s="2" t="s">
        <v>9</v>
      </c>
      <c r="H102" s="17">
        <f>ROUND(VLOOKUP(H$91&amp;"_1",管理者用人口入力シート!BH:CE,J102,FALSE),0)</f>
        <v>62</v>
      </c>
      <c r="I102" s="17">
        <f>ROUND(VLOOKUP(H$91&amp;"_2",管理者用人口入力シート!BH:CE,J102,FALSE),0)</f>
        <v>65</v>
      </c>
      <c r="J102" s="2">
        <v>13</v>
      </c>
      <c r="K102" s="12"/>
      <c r="N102" s="2" t="s">
        <v>9</v>
      </c>
      <c r="O102" s="17">
        <f>ROUND(VLOOKUP(O$91&amp;"_1",管理者用人口入力シート!CO:DL,Q102,FALSE),0)</f>
        <v>62</v>
      </c>
      <c r="P102" s="17">
        <f>ROUND(VLOOKUP(O$91&amp;"_2",管理者用人口入力シート!CO:DL,Q102,FALSE),0)</f>
        <v>66</v>
      </c>
      <c r="Q102" s="2">
        <v>13</v>
      </c>
      <c r="T102" s="85"/>
    </row>
    <row r="103" spans="1:20" x14ac:dyDescent="0.15">
      <c r="A103" s="2" t="s">
        <v>14</v>
      </c>
      <c r="B103" s="17">
        <f>ROUND(VLOOKUP(B$87&amp;"_1",管理者用人口入力シート!A:X,D103,FALSE),0)</f>
        <v>158</v>
      </c>
      <c r="C103" s="17">
        <f>ROUND(VLOOKUP(B$87&amp;"_2",管理者用人口入力シート!A:X,D103,FALSE),0)</f>
        <v>189</v>
      </c>
      <c r="D103" s="2">
        <v>18</v>
      </c>
      <c r="G103" s="2" t="s">
        <v>10</v>
      </c>
      <c r="H103" s="17">
        <f>ROUND(VLOOKUP(H$91&amp;"_1",管理者用人口入力シート!BH:CE,J103,FALSE),0)</f>
        <v>81</v>
      </c>
      <c r="I103" s="17">
        <f>ROUND(VLOOKUP(H$91&amp;"_2",管理者用人口入力シート!BH:CE,J103,FALSE),0)</f>
        <v>73</v>
      </c>
      <c r="J103" s="2">
        <v>14</v>
      </c>
      <c r="K103" s="12"/>
      <c r="N103" s="2" t="s">
        <v>10</v>
      </c>
      <c r="O103" s="17">
        <f>ROUND(VLOOKUP(O$91&amp;"_1",管理者用人口入力シート!CO:DL,Q103,FALSE),0)</f>
        <v>81</v>
      </c>
      <c r="P103" s="17">
        <f>ROUND(VLOOKUP(O$91&amp;"_2",管理者用人口入力シート!CO:DL,Q103,FALSE),0)</f>
        <v>73</v>
      </c>
      <c r="Q103" s="2">
        <v>14</v>
      </c>
      <c r="T103" s="85"/>
    </row>
    <row r="104" spans="1:20" x14ac:dyDescent="0.15">
      <c r="A104" s="2" t="s">
        <v>15</v>
      </c>
      <c r="B104" s="17">
        <f>ROUND(VLOOKUP(B$87&amp;"_1",管理者用人口入力シート!A:X,D104,FALSE),0)</f>
        <v>106</v>
      </c>
      <c r="C104" s="17">
        <f>ROUND(VLOOKUP(B$87&amp;"_2",管理者用人口入力シート!A:X,D104,FALSE),0)</f>
        <v>143</v>
      </c>
      <c r="D104" s="2">
        <v>19</v>
      </c>
      <c r="G104" s="2" t="s">
        <v>11</v>
      </c>
      <c r="H104" s="17">
        <f>ROUND(VLOOKUP(H$91&amp;"_1",管理者用人口入力シート!BH:CE,J104,FALSE),0)</f>
        <v>95</v>
      </c>
      <c r="I104" s="17">
        <f>ROUND(VLOOKUP(H$91&amp;"_2",管理者用人口入力シート!BH:CE,J104,FALSE),0)</f>
        <v>85</v>
      </c>
      <c r="J104" s="2">
        <v>15</v>
      </c>
      <c r="K104" s="12"/>
      <c r="N104" s="2" t="s">
        <v>11</v>
      </c>
      <c r="O104" s="17">
        <f>ROUND(VLOOKUP(O$91&amp;"_1",管理者用人口入力シート!CO:DL,Q104,FALSE),0)</f>
        <v>95</v>
      </c>
      <c r="P104" s="17">
        <f>ROUND(VLOOKUP(O$91&amp;"_2",管理者用人口入力シート!CO:DL,Q104,FALSE),0)</f>
        <v>85</v>
      </c>
      <c r="Q104" s="2">
        <v>15</v>
      </c>
      <c r="T104" s="85"/>
    </row>
    <row r="105" spans="1:20" x14ac:dyDescent="0.15">
      <c r="A105" s="2" t="s">
        <v>16</v>
      </c>
      <c r="B105" s="17">
        <f>ROUND(VLOOKUP(B$87&amp;"_1",管理者用人口入力シート!A:X,D105,FALSE),0)</f>
        <v>85</v>
      </c>
      <c r="C105" s="17">
        <f>ROUND(VLOOKUP(B$87&amp;"_2",管理者用人口入力シート!A:X,D105,FALSE),0)</f>
        <v>128</v>
      </c>
      <c r="D105" s="2">
        <v>20</v>
      </c>
      <c r="G105" s="2" t="s">
        <v>12</v>
      </c>
      <c r="H105" s="17">
        <f>ROUND(VLOOKUP(H$91&amp;"_1",管理者用人口入力シート!BH:CE,J105,FALSE),0)</f>
        <v>74</v>
      </c>
      <c r="I105" s="17">
        <f>ROUND(VLOOKUP(H$91&amp;"_2",管理者用人口入力シート!BH:CE,J105,FALSE),0)</f>
        <v>73</v>
      </c>
      <c r="J105" s="2">
        <v>16</v>
      </c>
      <c r="K105" s="12"/>
      <c r="N105" s="2" t="s">
        <v>12</v>
      </c>
      <c r="O105" s="17">
        <f>ROUND(VLOOKUP(O$91&amp;"_1",管理者用人口入力シート!CO:DL,Q105,FALSE),0)</f>
        <v>74</v>
      </c>
      <c r="P105" s="17">
        <f>ROUND(VLOOKUP(O$91&amp;"_2",管理者用人口入力シート!CO:DL,Q105,FALSE),0)</f>
        <v>73</v>
      </c>
      <c r="Q105" s="2">
        <v>16</v>
      </c>
      <c r="T105" s="85"/>
    </row>
    <row r="106" spans="1:20" x14ac:dyDescent="0.15">
      <c r="A106" s="2" t="s">
        <v>17</v>
      </c>
      <c r="B106" s="17">
        <f>ROUND(VLOOKUP(B$87&amp;"_1",管理者用人口入力シート!A:X,D106,FALSE),0)</f>
        <v>57</v>
      </c>
      <c r="C106" s="17">
        <f>ROUND(VLOOKUP(B$87&amp;"_2",管理者用人口入力シート!A:X,D106,FALSE),0)</f>
        <v>126</v>
      </c>
      <c r="D106" s="2">
        <v>21</v>
      </c>
      <c r="G106" s="2" t="s">
        <v>13</v>
      </c>
      <c r="H106" s="17">
        <f>ROUND(VLOOKUP(H$91&amp;"_1",管理者用人口入力シート!BH:CE,J106,FALSE),0)</f>
        <v>95</v>
      </c>
      <c r="I106" s="17">
        <f>ROUND(VLOOKUP(H$91&amp;"_2",管理者用人口入力シート!BH:CE,J106,FALSE),0)</f>
        <v>98</v>
      </c>
      <c r="J106" s="2">
        <v>17</v>
      </c>
      <c r="K106" s="12"/>
      <c r="N106" s="2" t="s">
        <v>13</v>
      </c>
      <c r="O106" s="17">
        <f>ROUND(VLOOKUP(O$91&amp;"_1",管理者用人口入力シート!CO:DL,Q106,FALSE),0)</f>
        <v>95</v>
      </c>
      <c r="P106" s="17">
        <f>ROUND(VLOOKUP(O$91&amp;"_2",管理者用人口入力シート!CO:DL,Q106,FALSE),0)</f>
        <v>98</v>
      </c>
      <c r="Q106" s="2">
        <v>17</v>
      </c>
      <c r="T106" s="85"/>
    </row>
    <row r="107" spans="1:20" x14ac:dyDescent="0.15">
      <c r="A107" s="2" t="s">
        <v>18</v>
      </c>
      <c r="B107" s="17">
        <f>ROUND(VLOOKUP(B$87&amp;"_1",管理者用人口入力シート!A:X,D107,FALSE),0)</f>
        <v>34</v>
      </c>
      <c r="C107" s="17">
        <f>ROUND(VLOOKUP(B$87&amp;"_2",管理者用人口入力シート!A:X,D107,FALSE),0)</f>
        <v>77</v>
      </c>
      <c r="D107" s="2">
        <v>22</v>
      </c>
      <c r="G107" s="2" t="s">
        <v>14</v>
      </c>
      <c r="H107" s="17">
        <f>ROUND(VLOOKUP(H$91&amp;"_1",管理者用人口入力シート!BH:CE,J107,FALSE),0)</f>
        <v>118</v>
      </c>
      <c r="I107" s="17">
        <f>ROUND(VLOOKUP(H$91&amp;"_2",管理者用人口入力シート!BH:CE,J107,FALSE),0)</f>
        <v>150</v>
      </c>
      <c r="J107" s="2">
        <v>18</v>
      </c>
      <c r="K107" s="12"/>
      <c r="N107" s="2" t="s">
        <v>14</v>
      </c>
      <c r="O107" s="17">
        <f>ROUND(VLOOKUP(O$91&amp;"_1",管理者用人口入力シート!CO:DL,Q107,FALSE),0)</f>
        <v>118</v>
      </c>
      <c r="P107" s="17">
        <f>ROUND(VLOOKUP(O$91&amp;"_2",管理者用人口入力シート!CO:DL,Q107,FALSE),0)</f>
        <v>150</v>
      </c>
      <c r="Q107" s="2">
        <v>18</v>
      </c>
      <c r="T107" s="85"/>
    </row>
    <row r="108" spans="1:20" x14ac:dyDescent="0.15">
      <c r="A108" s="2" t="s">
        <v>19</v>
      </c>
      <c r="B108" s="17">
        <f>ROUND(VLOOKUP(B$87&amp;"_1",管理者用人口入力シート!A:X,D108,FALSE),0)</f>
        <v>10</v>
      </c>
      <c r="C108" s="17">
        <f>ROUND(VLOOKUP(B$87&amp;"_2",管理者用人口入力シート!A:X,D108,FALSE),0)</f>
        <v>27</v>
      </c>
      <c r="D108" s="2">
        <v>23</v>
      </c>
      <c r="G108" s="2" t="s">
        <v>15</v>
      </c>
      <c r="H108" s="17">
        <f>ROUND(VLOOKUP(H$91&amp;"_1",管理者用人口入力シート!BH:CE,J108,FALSE),0)</f>
        <v>145</v>
      </c>
      <c r="I108" s="17">
        <f>ROUND(VLOOKUP(H$91&amp;"_2",管理者用人口入力シート!BH:CE,J108,FALSE),0)</f>
        <v>169</v>
      </c>
      <c r="J108" s="2">
        <v>19</v>
      </c>
      <c r="K108" s="12"/>
      <c r="N108" s="2" t="s">
        <v>15</v>
      </c>
      <c r="O108" s="17">
        <f>ROUND(VLOOKUP(O$91&amp;"_1",管理者用人口入力シート!CO:DL,Q108,FALSE),0)</f>
        <v>145</v>
      </c>
      <c r="P108" s="17">
        <f>ROUND(VLOOKUP(O$91&amp;"_2",管理者用人口入力シート!CO:DL,Q108,FALSE),0)</f>
        <v>169</v>
      </c>
      <c r="Q108" s="2">
        <v>19</v>
      </c>
      <c r="T108" s="85"/>
    </row>
    <row r="109" spans="1:20" x14ac:dyDescent="0.15">
      <c r="A109" s="2" t="s">
        <v>20</v>
      </c>
      <c r="B109" s="17">
        <f>ROUND(VLOOKUP(B$87&amp;"_1",管理者用人口入力シート!A:X,D109,FALSE),0)</f>
        <v>0</v>
      </c>
      <c r="C109" s="17">
        <f>ROUND(VLOOKUP(B$87&amp;"_2",管理者用人口入力シート!A:X,D109,FALSE),0)</f>
        <v>3</v>
      </c>
      <c r="D109" s="2">
        <v>24</v>
      </c>
      <c r="G109" s="2" t="s">
        <v>16</v>
      </c>
      <c r="H109" s="17">
        <f>ROUND(VLOOKUP(H$91&amp;"_1",管理者用人口入力シート!BH:CE,J109,FALSE),0)</f>
        <v>104</v>
      </c>
      <c r="I109" s="17">
        <f>ROUND(VLOOKUP(H$91&amp;"_2",管理者用人口入力シート!BH:CE,J109,FALSE),0)</f>
        <v>160</v>
      </c>
      <c r="J109" s="2">
        <v>20</v>
      </c>
      <c r="K109" s="12"/>
      <c r="N109" s="2" t="s">
        <v>16</v>
      </c>
      <c r="O109" s="17">
        <f>ROUND(VLOOKUP(O$91&amp;"_1",管理者用人口入力シート!CO:DL,Q109,FALSE),0)</f>
        <v>104</v>
      </c>
      <c r="P109" s="17">
        <f>ROUND(VLOOKUP(O$91&amp;"_2",管理者用人口入力シート!CO:DL,Q109,FALSE),0)</f>
        <v>160</v>
      </c>
      <c r="Q109" s="2">
        <v>20</v>
      </c>
      <c r="T109" s="85"/>
    </row>
    <row r="110" spans="1:20" x14ac:dyDescent="0.15">
      <c r="G110" s="2" t="s">
        <v>17</v>
      </c>
      <c r="H110" s="17">
        <f>ROUND(VLOOKUP(H$91&amp;"_1",管理者用人口入力シート!BH:CE,J110,FALSE),0)</f>
        <v>49</v>
      </c>
      <c r="I110" s="17">
        <f>ROUND(VLOOKUP(H$91&amp;"_2",管理者用人口入力シート!BH:CE,J110,FALSE),0)</f>
        <v>104</v>
      </c>
      <c r="J110" s="2">
        <v>21</v>
      </c>
      <c r="K110" s="12"/>
      <c r="N110" s="2" t="s">
        <v>17</v>
      </c>
      <c r="O110" s="17">
        <f>ROUND(VLOOKUP(O$91&amp;"_1",管理者用人口入力シート!CO:DL,Q110,FALSE),0)</f>
        <v>49</v>
      </c>
      <c r="P110" s="17">
        <f>ROUND(VLOOKUP(O$91&amp;"_2",管理者用人口入力シート!CO:DL,Q110,FALSE),0)</f>
        <v>104</v>
      </c>
      <c r="Q110" s="2">
        <v>21</v>
      </c>
      <c r="T110" s="85"/>
    </row>
    <row r="111" spans="1:20" x14ac:dyDescent="0.15">
      <c r="G111" s="2" t="s">
        <v>18</v>
      </c>
      <c r="H111" s="17">
        <f>ROUND(VLOOKUP(H$91&amp;"_1",管理者用人口入力シート!BH:CE,J111,FALSE),0)</f>
        <v>24</v>
      </c>
      <c r="I111" s="17">
        <f>ROUND(VLOOKUP(H$91&amp;"_2",管理者用人口入力シート!BH:CE,J111,FALSE),0)</f>
        <v>57</v>
      </c>
      <c r="J111" s="2">
        <v>22</v>
      </c>
      <c r="K111" s="12"/>
      <c r="N111" s="2" t="s">
        <v>18</v>
      </c>
      <c r="O111" s="17">
        <f>ROUND(VLOOKUP(O$91&amp;"_1",管理者用人口入力シート!CO:DL,Q111,FALSE),0)</f>
        <v>24</v>
      </c>
      <c r="P111" s="17">
        <f>ROUND(VLOOKUP(O$91&amp;"_2",管理者用人口入力シート!CO:DL,Q111,FALSE),0)</f>
        <v>57</v>
      </c>
      <c r="Q111" s="2">
        <v>22</v>
      </c>
      <c r="T111" s="85"/>
    </row>
    <row r="112" spans="1:20" x14ac:dyDescent="0.15">
      <c r="G112" s="2" t="s">
        <v>19</v>
      </c>
      <c r="H112" s="17">
        <f>ROUND(VLOOKUP(H$91&amp;"_1",管理者用人口入力シート!BH:CE,J112,FALSE),0)</f>
        <v>10</v>
      </c>
      <c r="I112" s="17">
        <f>ROUND(VLOOKUP(H$91&amp;"_2",管理者用人口入力シート!BH:CE,J112,FALSE),0)</f>
        <v>29</v>
      </c>
      <c r="J112" s="2">
        <v>23</v>
      </c>
      <c r="K112" s="12"/>
      <c r="N112" s="2" t="s">
        <v>19</v>
      </c>
      <c r="O112" s="17">
        <f>ROUND(VLOOKUP(O$91&amp;"_1",管理者用人口入力シート!CO:DL,Q112,FALSE),0)</f>
        <v>10</v>
      </c>
      <c r="P112" s="17">
        <f>ROUND(VLOOKUP(O$91&amp;"_2",管理者用人口入力シート!CO:DL,Q112,FALSE),0)</f>
        <v>29</v>
      </c>
      <c r="Q112" s="2">
        <v>23</v>
      </c>
      <c r="T112" s="85"/>
    </row>
    <row r="113" spans="7:20" x14ac:dyDescent="0.15">
      <c r="G113" s="2" t="s">
        <v>20</v>
      </c>
      <c r="H113" s="17">
        <f>ROUND(VLOOKUP(H$91&amp;"_1",管理者用人口入力シート!BH:CE,J113,FALSE),0)</f>
        <v>0</v>
      </c>
      <c r="I113" s="17">
        <f>ROUND(VLOOKUP(H$91&amp;"_2",管理者用人口入力シート!BH:CE,J113,FALSE),0)</f>
        <v>8</v>
      </c>
      <c r="J113" s="2">
        <v>24</v>
      </c>
      <c r="K113" s="12"/>
      <c r="N113" s="2" t="s">
        <v>20</v>
      </c>
      <c r="O113" s="17">
        <f>ROUND(VLOOKUP(O$91&amp;"_1",管理者用人口入力シート!CO:DL,Q113,FALSE),0)</f>
        <v>0</v>
      </c>
      <c r="P113" s="17">
        <f>ROUND(VLOOKUP(O$91&amp;"_2",管理者用人口入力シート!CO:DL,Q113,FALSE),0)</f>
        <v>8</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12</v>
      </c>
      <c r="I117" s="17">
        <f>ROUND(VLOOKUP(H$115&amp;"_2",管理者用人口入力シート!BH:CE,J117,FALSE),0)</f>
        <v>15</v>
      </c>
      <c r="J117" s="2">
        <v>4</v>
      </c>
      <c r="N117" s="2" t="s">
        <v>0</v>
      </c>
      <c r="O117" s="17">
        <f>ROUND(VLOOKUP(O$115&amp;"_1",管理者用人口入力シート!CO:DL,Q117,FALSE),0)</f>
        <v>14</v>
      </c>
      <c r="P117" s="17">
        <f>ROUND(VLOOKUP(O$115&amp;"_2",管理者用人口入力シート!CO:DL,Q117,FALSE),0)</f>
        <v>17</v>
      </c>
      <c r="Q117" s="2">
        <v>4</v>
      </c>
      <c r="T117" s="85"/>
    </row>
    <row r="118" spans="7:20" x14ac:dyDescent="0.15">
      <c r="G118" s="2" t="s">
        <v>1</v>
      </c>
      <c r="H118" s="17">
        <f>ROUND(VLOOKUP(H$115&amp;"_1",管理者用人口入力シート!BH:CE,J118,FALSE),0)</f>
        <v>15</v>
      </c>
      <c r="I118" s="17">
        <f>ROUND(VLOOKUP(H$115&amp;"_2",管理者用人口入力シート!BH:CE,J118,FALSE),0)</f>
        <v>20</v>
      </c>
      <c r="J118" s="2">
        <v>5</v>
      </c>
      <c r="N118" s="2" t="s">
        <v>1</v>
      </c>
      <c r="O118" s="17">
        <f>ROUND(VLOOKUP(O$115&amp;"_1",管理者用人口入力シート!CO:DL,Q118,FALSE),0)</f>
        <v>17</v>
      </c>
      <c r="P118" s="17">
        <f>ROUND(VLOOKUP(O$115&amp;"_2",管理者用人口入力シート!CO:DL,Q118,FALSE),0)</f>
        <v>21</v>
      </c>
      <c r="Q118" s="2">
        <v>5</v>
      </c>
      <c r="T118" s="85"/>
    </row>
    <row r="119" spans="7:20" x14ac:dyDescent="0.15">
      <c r="G119" s="2" t="s">
        <v>2</v>
      </c>
      <c r="H119" s="17">
        <f>ROUND(VLOOKUP(H$115&amp;"_1",管理者用人口入力シート!BH:CE,J119,FALSE),0)</f>
        <v>23</v>
      </c>
      <c r="I119" s="17">
        <f>ROUND(VLOOKUP(H$115&amp;"_2",管理者用人口入力シート!BH:CE,J119,FALSE),0)</f>
        <v>26</v>
      </c>
      <c r="J119" s="2">
        <v>6</v>
      </c>
      <c r="N119" s="2" t="s">
        <v>2</v>
      </c>
      <c r="O119" s="17">
        <f>ROUND(VLOOKUP(O$115&amp;"_1",管理者用人口入力シート!CO:DL,Q119,FALSE),0)</f>
        <v>25</v>
      </c>
      <c r="P119" s="17">
        <f>ROUND(VLOOKUP(O$115&amp;"_2",管理者用人口入力シート!CO:DL,Q119,FALSE),0)</f>
        <v>28</v>
      </c>
      <c r="Q119" s="2">
        <v>6</v>
      </c>
      <c r="T119" s="85"/>
    </row>
    <row r="120" spans="7:20" x14ac:dyDescent="0.15">
      <c r="G120" s="2" t="s">
        <v>3</v>
      </c>
      <c r="H120" s="17">
        <f>ROUND(VLOOKUP(H$115&amp;"_1",管理者用人口入力シート!BH:CE,J120,FALSE),0)</f>
        <v>27</v>
      </c>
      <c r="I120" s="17">
        <f>ROUND(VLOOKUP(H$115&amp;"_2",管理者用人口入力シート!BH:CE,J120,FALSE),0)</f>
        <v>30</v>
      </c>
      <c r="J120" s="2">
        <v>7</v>
      </c>
      <c r="N120" s="2" t="s">
        <v>3</v>
      </c>
      <c r="O120" s="17">
        <f>ROUND(VLOOKUP(O$115&amp;"_1",管理者用人口入力シート!CO:DL,Q120,FALSE),0)</f>
        <v>28</v>
      </c>
      <c r="P120" s="17">
        <f>ROUND(VLOOKUP(O$115&amp;"_2",管理者用人口入力シート!CO:DL,Q120,FALSE),0)</f>
        <v>30</v>
      </c>
      <c r="Q120" s="2">
        <v>7</v>
      </c>
      <c r="T120" s="85"/>
    </row>
    <row r="121" spans="7:20" x14ac:dyDescent="0.15">
      <c r="G121" s="2" t="s">
        <v>4</v>
      </c>
      <c r="H121" s="17">
        <f>ROUND(VLOOKUP(H$115&amp;"_1",管理者用人口入力シート!BH:CE,J121,FALSE),0)</f>
        <v>26</v>
      </c>
      <c r="I121" s="17">
        <f>ROUND(VLOOKUP(H$115&amp;"_2",管理者用人口入力シート!BH:CE,J121,FALSE),0)</f>
        <v>19</v>
      </c>
      <c r="J121" s="2">
        <v>8</v>
      </c>
      <c r="N121" s="2" t="s">
        <v>4</v>
      </c>
      <c r="O121" s="17">
        <f>ROUND(VLOOKUP(O$115&amp;"_1",管理者用人口入力シート!CO:DL,Q121,FALSE),0)</f>
        <v>26</v>
      </c>
      <c r="P121" s="17">
        <f>ROUND(VLOOKUP(O$115&amp;"_2",管理者用人口入力シート!CO:DL,Q121,FALSE),0)</f>
        <v>19</v>
      </c>
      <c r="Q121" s="2">
        <v>8</v>
      </c>
      <c r="T121" s="85"/>
    </row>
    <row r="122" spans="7:20" x14ac:dyDescent="0.15">
      <c r="G122" s="2" t="s">
        <v>5</v>
      </c>
      <c r="H122" s="17">
        <f>ROUND(VLOOKUP(H$115&amp;"_1",管理者用人口入力シート!BH:CE,J122,FALSE),0)</f>
        <v>22</v>
      </c>
      <c r="I122" s="17">
        <f>ROUND(VLOOKUP(H$115&amp;"_2",管理者用人口入力シート!BH:CE,J122,FALSE),0)</f>
        <v>18</v>
      </c>
      <c r="J122" s="2">
        <v>9</v>
      </c>
      <c r="N122" s="2" t="s">
        <v>5</v>
      </c>
      <c r="O122" s="17">
        <f>ROUND(VLOOKUP(O$115&amp;"_1",管理者用人口入力シート!CO:DL,Q122,FALSE),0)</f>
        <v>24</v>
      </c>
      <c r="P122" s="17">
        <f>ROUND(VLOOKUP(O$115&amp;"_2",管理者用人口入力シート!CO:DL,Q122,FALSE),0)</f>
        <v>20</v>
      </c>
      <c r="Q122" s="2">
        <v>9</v>
      </c>
      <c r="T122" s="85"/>
    </row>
    <row r="123" spans="7:20" x14ac:dyDescent="0.15">
      <c r="G123" s="2" t="s">
        <v>6</v>
      </c>
      <c r="H123" s="17">
        <f>ROUND(VLOOKUP(H$115&amp;"_1",管理者用人口入力シート!BH:CE,J123,FALSE),0)</f>
        <v>25</v>
      </c>
      <c r="I123" s="17">
        <f>ROUND(VLOOKUP(H$115&amp;"_2",管理者用人口入力シート!BH:CE,J123,FALSE),0)</f>
        <v>19</v>
      </c>
      <c r="J123" s="2">
        <v>10</v>
      </c>
      <c r="N123" s="2" t="s">
        <v>6</v>
      </c>
      <c r="O123" s="17">
        <f>ROUND(VLOOKUP(O$115&amp;"_1",管理者用人口入力シート!CO:DL,Q123,FALSE),0)</f>
        <v>27</v>
      </c>
      <c r="P123" s="17">
        <f>ROUND(VLOOKUP(O$115&amp;"_2",管理者用人口入力シート!CO:DL,Q123,FALSE),0)</f>
        <v>20</v>
      </c>
      <c r="Q123" s="2">
        <v>10</v>
      </c>
      <c r="T123" s="85"/>
    </row>
    <row r="124" spans="7:20" x14ac:dyDescent="0.15">
      <c r="G124" s="2" t="s">
        <v>7</v>
      </c>
      <c r="H124" s="17">
        <f>ROUND(VLOOKUP(H$115&amp;"_1",管理者用人口入力シート!BH:CE,J124,FALSE),0)</f>
        <v>16</v>
      </c>
      <c r="I124" s="17">
        <f>ROUND(VLOOKUP(H$115&amp;"_2",管理者用人口入力シート!BH:CE,J124,FALSE),0)</f>
        <v>20</v>
      </c>
      <c r="J124" s="2">
        <v>11</v>
      </c>
      <c r="N124" s="2" t="s">
        <v>7</v>
      </c>
      <c r="O124" s="17">
        <f>ROUND(VLOOKUP(O$115&amp;"_1",管理者用人口入力シート!CO:DL,Q124,FALSE),0)</f>
        <v>18</v>
      </c>
      <c r="P124" s="17">
        <f>ROUND(VLOOKUP(O$115&amp;"_2",管理者用人口入力シート!CO:DL,Q124,FALSE),0)</f>
        <v>21</v>
      </c>
      <c r="Q124" s="2">
        <v>11</v>
      </c>
      <c r="T124" s="85"/>
    </row>
    <row r="125" spans="7:20" x14ac:dyDescent="0.15">
      <c r="G125" s="2" t="s">
        <v>8</v>
      </c>
      <c r="H125" s="17">
        <f>ROUND(VLOOKUP(H$115&amp;"_1",管理者用人口入力シート!BH:CE,J125,FALSE),0)</f>
        <v>25</v>
      </c>
      <c r="I125" s="17">
        <f>ROUND(VLOOKUP(H$115&amp;"_2",管理者用人口入力シート!BH:CE,J125,FALSE),0)</f>
        <v>24</v>
      </c>
      <c r="J125" s="2">
        <v>12</v>
      </c>
      <c r="N125" s="2" t="s">
        <v>8</v>
      </c>
      <c r="O125" s="17">
        <f>ROUND(VLOOKUP(O$115&amp;"_1",管理者用人口入力シート!CO:DL,Q125,FALSE),0)</f>
        <v>25</v>
      </c>
      <c r="P125" s="17">
        <f>ROUND(VLOOKUP(O$115&amp;"_2",管理者用人口入力シート!CO:DL,Q125,FALSE),0)</f>
        <v>25</v>
      </c>
      <c r="Q125" s="2">
        <v>12</v>
      </c>
      <c r="T125" s="85"/>
    </row>
    <row r="126" spans="7:20" x14ac:dyDescent="0.15">
      <c r="G126" s="2" t="s">
        <v>9</v>
      </c>
      <c r="H126" s="17">
        <f>ROUND(VLOOKUP(H$115&amp;"_1",管理者用人口入力シート!BH:CE,J126,FALSE),0)</f>
        <v>48</v>
      </c>
      <c r="I126" s="17">
        <f>ROUND(VLOOKUP(H$115&amp;"_2",管理者用人口入力シート!BH:CE,J126,FALSE),0)</f>
        <v>51</v>
      </c>
      <c r="J126" s="2">
        <v>13</v>
      </c>
      <c r="N126" s="2" t="s">
        <v>9</v>
      </c>
      <c r="O126" s="17">
        <f>ROUND(VLOOKUP(O$115&amp;"_1",管理者用人口入力シート!CO:DL,Q126,FALSE),0)</f>
        <v>48</v>
      </c>
      <c r="P126" s="17">
        <f>ROUND(VLOOKUP(O$115&amp;"_2",管理者用人口入力シート!CO:DL,Q126,FALSE),0)</f>
        <v>52</v>
      </c>
      <c r="Q126" s="2">
        <v>13</v>
      </c>
      <c r="T126" s="85"/>
    </row>
    <row r="127" spans="7:20" x14ac:dyDescent="0.15">
      <c r="G127" s="2" t="s">
        <v>10</v>
      </c>
      <c r="H127" s="17">
        <f>ROUND(VLOOKUP(H$115&amp;"_1",管理者用人口入力シート!BH:CE,J127,FALSE),0)</f>
        <v>63</v>
      </c>
      <c r="I127" s="17">
        <f>ROUND(VLOOKUP(H$115&amp;"_2",管理者用人口入力シート!BH:CE,J127,FALSE),0)</f>
        <v>66</v>
      </c>
      <c r="J127" s="2">
        <v>14</v>
      </c>
      <c r="N127" s="2" t="s">
        <v>10</v>
      </c>
      <c r="O127" s="17">
        <f>ROUND(VLOOKUP(O$115&amp;"_1",管理者用人口入力シート!CO:DL,Q127,FALSE),0)</f>
        <v>63</v>
      </c>
      <c r="P127" s="17">
        <f>ROUND(VLOOKUP(O$115&amp;"_2",管理者用人口入力シート!CO:DL,Q127,FALSE),0)</f>
        <v>67</v>
      </c>
      <c r="Q127" s="2">
        <v>14</v>
      </c>
      <c r="T127" s="85"/>
    </row>
    <row r="128" spans="7:20" x14ac:dyDescent="0.15">
      <c r="G128" s="2" t="s">
        <v>11</v>
      </c>
      <c r="H128" s="17">
        <f>ROUND(VLOOKUP(H$115&amp;"_1",管理者用人口入力シート!BH:CE,J128,FALSE),0)</f>
        <v>82</v>
      </c>
      <c r="I128" s="17">
        <f>ROUND(VLOOKUP(H$115&amp;"_2",管理者用人口入力シート!BH:CE,J128,FALSE),0)</f>
        <v>74</v>
      </c>
      <c r="J128" s="2">
        <v>15</v>
      </c>
      <c r="N128" s="2" t="s">
        <v>11</v>
      </c>
      <c r="O128" s="17">
        <f>ROUND(VLOOKUP(O$115&amp;"_1",管理者用人口入力シート!CO:DL,Q128,FALSE),0)</f>
        <v>82</v>
      </c>
      <c r="P128" s="17">
        <f>ROUND(VLOOKUP(O$115&amp;"_2",管理者用人口入力シート!CO:DL,Q128,FALSE),0)</f>
        <v>74</v>
      </c>
      <c r="Q128" s="2">
        <v>15</v>
      </c>
      <c r="T128" s="85"/>
    </row>
    <row r="129" spans="7:20" x14ac:dyDescent="0.15">
      <c r="G129" s="2" t="s">
        <v>12</v>
      </c>
      <c r="H129" s="17">
        <f>ROUND(VLOOKUP(H$115&amp;"_1",管理者用人口入力シート!BH:CE,J129,FALSE),0)</f>
        <v>94</v>
      </c>
      <c r="I129" s="17">
        <f>ROUND(VLOOKUP(H$115&amp;"_2",管理者用人口入力シート!BH:CE,J129,FALSE),0)</f>
        <v>85</v>
      </c>
      <c r="J129" s="2">
        <v>16</v>
      </c>
      <c r="N129" s="2" t="s">
        <v>12</v>
      </c>
      <c r="O129" s="17">
        <f>ROUND(VLOOKUP(O$115&amp;"_1",管理者用人口入力シート!CO:DL,Q129,FALSE),0)</f>
        <v>94</v>
      </c>
      <c r="P129" s="17">
        <f>ROUND(VLOOKUP(O$115&amp;"_2",管理者用人口入力シート!CO:DL,Q129,FALSE),0)</f>
        <v>85</v>
      </c>
      <c r="Q129" s="2">
        <v>16</v>
      </c>
      <c r="T129" s="85"/>
    </row>
    <row r="130" spans="7:20" x14ac:dyDescent="0.15">
      <c r="G130" s="2" t="s">
        <v>13</v>
      </c>
      <c r="H130" s="17">
        <f>ROUND(VLOOKUP(H$115&amp;"_1",管理者用人口入力シート!BH:CE,J130,FALSE),0)</f>
        <v>70</v>
      </c>
      <c r="I130" s="17">
        <f>ROUND(VLOOKUP(H$115&amp;"_2",管理者用人口入力シート!BH:CE,J130,FALSE),0)</f>
        <v>70</v>
      </c>
      <c r="J130" s="2">
        <v>17</v>
      </c>
      <c r="N130" s="2" t="s">
        <v>13</v>
      </c>
      <c r="O130" s="17">
        <f>ROUND(VLOOKUP(O$115&amp;"_1",管理者用人口入力シート!CO:DL,Q130,FALSE),0)</f>
        <v>70</v>
      </c>
      <c r="P130" s="17">
        <f>ROUND(VLOOKUP(O$115&amp;"_2",管理者用人口入力シート!CO:DL,Q130,FALSE),0)</f>
        <v>70</v>
      </c>
      <c r="Q130" s="2">
        <v>17</v>
      </c>
      <c r="T130" s="85"/>
    </row>
    <row r="131" spans="7:20" x14ac:dyDescent="0.15">
      <c r="G131" s="2" t="s">
        <v>14</v>
      </c>
      <c r="H131" s="17">
        <f>ROUND(VLOOKUP(H$115&amp;"_1",管理者用人口入力シート!BH:CE,J131,FALSE),0)</f>
        <v>84</v>
      </c>
      <c r="I131" s="17">
        <f>ROUND(VLOOKUP(H$115&amp;"_2",管理者用人口入力シート!BH:CE,J131,FALSE),0)</f>
        <v>96</v>
      </c>
      <c r="J131" s="2">
        <v>18</v>
      </c>
      <c r="N131" s="2" t="s">
        <v>14</v>
      </c>
      <c r="O131" s="17">
        <f>ROUND(VLOOKUP(O$115&amp;"_1",管理者用人口入力シート!CO:DL,Q131,FALSE),0)</f>
        <v>84</v>
      </c>
      <c r="P131" s="17">
        <f>ROUND(VLOOKUP(O$115&amp;"_2",管理者用人口入力シート!CO:DL,Q131,FALSE),0)</f>
        <v>96</v>
      </c>
      <c r="Q131" s="2">
        <v>18</v>
      </c>
      <c r="T131" s="85"/>
    </row>
    <row r="132" spans="7:20" x14ac:dyDescent="0.15">
      <c r="G132" s="2" t="s">
        <v>15</v>
      </c>
      <c r="H132" s="17">
        <f>ROUND(VLOOKUP(H$115&amp;"_1",管理者用人口入力シート!BH:CE,J132,FALSE),0)</f>
        <v>104</v>
      </c>
      <c r="I132" s="17">
        <f>ROUND(VLOOKUP(H$115&amp;"_2",管理者用人口入力シート!BH:CE,J132,FALSE),0)</f>
        <v>140</v>
      </c>
      <c r="J132" s="2">
        <v>19</v>
      </c>
      <c r="N132" s="2" t="s">
        <v>15</v>
      </c>
      <c r="O132" s="17">
        <f>ROUND(VLOOKUP(O$115&amp;"_1",管理者用人口入力シート!CO:DL,Q132,FALSE),0)</f>
        <v>104</v>
      </c>
      <c r="P132" s="17">
        <f>ROUND(VLOOKUP(O$115&amp;"_2",管理者用人口入力シート!CO:DL,Q132,FALSE),0)</f>
        <v>140</v>
      </c>
      <c r="Q132" s="2">
        <v>19</v>
      </c>
      <c r="T132" s="85"/>
    </row>
    <row r="133" spans="7:20" x14ac:dyDescent="0.15">
      <c r="G133" s="2" t="s">
        <v>16</v>
      </c>
      <c r="H133" s="17">
        <f>ROUND(VLOOKUP(H$115&amp;"_1",管理者用人口入力シート!BH:CE,J133,FALSE),0)</f>
        <v>109</v>
      </c>
      <c r="I133" s="17">
        <f>ROUND(VLOOKUP(H$115&amp;"_2",管理者用人口入力シート!BH:CE,J133,FALSE),0)</f>
        <v>153</v>
      </c>
      <c r="J133" s="2">
        <v>20</v>
      </c>
      <c r="N133" s="2" t="s">
        <v>16</v>
      </c>
      <c r="O133" s="17">
        <f>ROUND(VLOOKUP(O$115&amp;"_1",管理者用人口入力シート!CO:DL,Q133,FALSE),0)</f>
        <v>109</v>
      </c>
      <c r="P133" s="17">
        <f>ROUND(VLOOKUP(O$115&amp;"_2",管理者用人口入力シート!CO:DL,Q133,FALSE),0)</f>
        <v>153</v>
      </c>
      <c r="Q133" s="2">
        <v>20</v>
      </c>
      <c r="T133" s="85"/>
    </row>
    <row r="134" spans="7:20" x14ac:dyDescent="0.15">
      <c r="G134" s="2" t="s">
        <v>17</v>
      </c>
      <c r="H134" s="17">
        <f>ROUND(VLOOKUP(H$115&amp;"_1",管理者用人口入力シート!BH:CE,J134,FALSE),0)</f>
        <v>65</v>
      </c>
      <c r="I134" s="17">
        <f>ROUND(VLOOKUP(H$115&amp;"_2",管理者用人口入力シート!BH:CE,J134,FALSE),0)</f>
        <v>128</v>
      </c>
      <c r="J134" s="2">
        <v>21</v>
      </c>
      <c r="N134" s="2" t="s">
        <v>17</v>
      </c>
      <c r="O134" s="17">
        <f>ROUND(VLOOKUP(O$115&amp;"_1",管理者用人口入力シート!CO:DL,Q134,FALSE),0)</f>
        <v>65</v>
      </c>
      <c r="P134" s="17">
        <f>ROUND(VLOOKUP(O$115&amp;"_2",管理者用人口入力シート!CO:DL,Q134,FALSE),0)</f>
        <v>128</v>
      </c>
      <c r="Q134" s="2">
        <v>21</v>
      </c>
      <c r="T134" s="85"/>
    </row>
    <row r="135" spans="7:20" x14ac:dyDescent="0.15">
      <c r="G135" s="2" t="s">
        <v>18</v>
      </c>
      <c r="H135" s="17">
        <f>ROUND(VLOOKUP(H$115&amp;"_1",管理者用人口入力シート!BH:CE,J135,FALSE),0)</f>
        <v>22</v>
      </c>
      <c r="I135" s="17">
        <f>ROUND(VLOOKUP(H$115&amp;"_2",管理者用人口入力シート!BH:CE,J135,FALSE),0)</f>
        <v>58</v>
      </c>
      <c r="J135" s="2">
        <v>22</v>
      </c>
      <c r="N135" s="2" t="s">
        <v>18</v>
      </c>
      <c r="O135" s="17">
        <f>ROUND(VLOOKUP(O$115&amp;"_1",管理者用人口入力シート!CO:DL,Q135,FALSE),0)</f>
        <v>22</v>
      </c>
      <c r="P135" s="17">
        <f>ROUND(VLOOKUP(O$115&amp;"_2",管理者用人口入力シート!CO:DL,Q135,FALSE),0)</f>
        <v>58</v>
      </c>
      <c r="Q135" s="2">
        <v>22</v>
      </c>
      <c r="T135" s="85"/>
    </row>
    <row r="136" spans="7:20" x14ac:dyDescent="0.15">
      <c r="G136" s="2" t="s">
        <v>19</v>
      </c>
      <c r="H136" s="17">
        <f>ROUND(VLOOKUP(H$115&amp;"_1",管理者用人口入力シート!BH:CE,J136,FALSE),0)</f>
        <v>9</v>
      </c>
      <c r="I136" s="17">
        <f>ROUND(VLOOKUP(H$115&amp;"_2",管理者用人口入力シート!BH:CE,J136,FALSE),0)</f>
        <v>23</v>
      </c>
      <c r="J136" s="2">
        <v>23</v>
      </c>
      <c r="N136" s="2" t="s">
        <v>19</v>
      </c>
      <c r="O136" s="17">
        <f>ROUND(VLOOKUP(O$115&amp;"_1",管理者用人口入力シート!CO:DL,Q136,FALSE),0)</f>
        <v>9</v>
      </c>
      <c r="P136" s="17">
        <f>ROUND(VLOOKUP(O$115&amp;"_2",管理者用人口入力シート!CO:DL,Q136,FALSE),0)</f>
        <v>23</v>
      </c>
      <c r="Q136" s="2">
        <v>23</v>
      </c>
      <c r="T136" s="85"/>
    </row>
    <row r="137" spans="7:20" x14ac:dyDescent="0.15">
      <c r="G137" s="2" t="s">
        <v>20</v>
      </c>
      <c r="H137" s="17">
        <f>ROUND(VLOOKUP(H$115&amp;"_1",管理者用人口入力シート!BH:CE,J137,FALSE),0)</f>
        <v>0</v>
      </c>
      <c r="I137" s="17">
        <f>ROUND(VLOOKUP(H$115&amp;"_2",管理者用人口入力シート!BH:CE,J137,FALSE),0)</f>
        <v>7</v>
      </c>
      <c r="J137" s="2">
        <v>24</v>
      </c>
      <c r="N137" s="2" t="s">
        <v>20</v>
      </c>
      <c r="O137" s="17">
        <f>ROUND(VLOOKUP(O$115&amp;"_1",管理者用人口入力シート!CO:DL,Q137,FALSE),0)</f>
        <v>0</v>
      </c>
      <c r="P137" s="17">
        <f>ROUND(VLOOKUP(O$115&amp;"_2",管理者用人口入力シート!CO:DL,Q137,FALSE),0)</f>
        <v>7</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10</v>
      </c>
      <c r="I141" s="17">
        <f>ROUND(VLOOKUP(H$139&amp;"_2",管理者用人口入力シート!BH:CE,J141,FALSE),0)</f>
        <v>13</v>
      </c>
      <c r="J141" s="2">
        <v>4</v>
      </c>
      <c r="N141" s="2" t="s">
        <v>0</v>
      </c>
      <c r="O141" s="17">
        <f>ROUND(VLOOKUP(O$139&amp;"_1",管理者用人口入力シート!CO:DL,Q141,FALSE),0)</f>
        <v>12</v>
      </c>
      <c r="P141" s="17">
        <f>ROUND(VLOOKUP(O$139&amp;"_2",管理者用人口入力シート!CO:DL,Q141,FALSE),0)</f>
        <v>15</v>
      </c>
      <c r="Q141" s="2">
        <v>4</v>
      </c>
    </row>
    <row r="142" spans="7:20" x14ac:dyDescent="0.15">
      <c r="G142" s="2" t="s">
        <v>1</v>
      </c>
      <c r="H142" s="17">
        <f>ROUND(VLOOKUP(H$139&amp;"_1",管理者用人口入力シート!BH:CE,J142,FALSE),0)</f>
        <v>12</v>
      </c>
      <c r="I142" s="17">
        <f>ROUND(VLOOKUP(H$139&amp;"_2",管理者用人口入力シート!BH:CE,J142,FALSE),0)</f>
        <v>16</v>
      </c>
      <c r="J142" s="2">
        <v>5</v>
      </c>
      <c r="N142" s="2" t="s">
        <v>1</v>
      </c>
      <c r="O142" s="17">
        <f>ROUND(VLOOKUP(O$139&amp;"_1",管理者用人口入力シート!CO:DL,Q142,FALSE),0)</f>
        <v>14</v>
      </c>
      <c r="P142" s="17">
        <f>ROUND(VLOOKUP(O$139&amp;"_2",管理者用人口入力シート!CO:DL,Q142,FALSE),0)</f>
        <v>19</v>
      </c>
      <c r="Q142" s="2">
        <v>5</v>
      </c>
    </row>
    <row r="143" spans="7:20" x14ac:dyDescent="0.15">
      <c r="G143" s="2" t="s">
        <v>2</v>
      </c>
      <c r="H143" s="17">
        <f>ROUND(VLOOKUP(H$139&amp;"_1",管理者用人口入力シート!BH:CE,J143,FALSE),0)</f>
        <v>16</v>
      </c>
      <c r="I143" s="17">
        <f>ROUND(VLOOKUP(H$139&amp;"_2",管理者用人口入力シート!BH:CE,J143,FALSE),0)</f>
        <v>18</v>
      </c>
      <c r="J143" s="2">
        <v>6</v>
      </c>
      <c r="N143" s="2" t="s">
        <v>2</v>
      </c>
      <c r="O143" s="17">
        <f>ROUND(VLOOKUP(O$139&amp;"_1",管理者用人口入力シート!CO:DL,Q143,FALSE),0)</f>
        <v>18</v>
      </c>
      <c r="P143" s="17">
        <f>ROUND(VLOOKUP(O$139&amp;"_2",管理者用人口入力シート!CO:DL,Q143,FALSE),0)</f>
        <v>20</v>
      </c>
      <c r="Q143" s="2">
        <v>6</v>
      </c>
    </row>
    <row r="144" spans="7:20" x14ac:dyDescent="0.15">
      <c r="G144" s="2" t="s">
        <v>3</v>
      </c>
      <c r="H144" s="17">
        <f>ROUND(VLOOKUP(H$139&amp;"_1",管理者用人口入力シート!BH:CE,J144,FALSE),0)</f>
        <v>19</v>
      </c>
      <c r="I144" s="17">
        <f>ROUND(VLOOKUP(H$139&amp;"_2",管理者用人口入力シート!BH:CE,J144,FALSE),0)</f>
        <v>21</v>
      </c>
      <c r="J144" s="2">
        <v>7</v>
      </c>
      <c r="N144" s="2" t="s">
        <v>3</v>
      </c>
      <c r="O144" s="17">
        <f>ROUND(VLOOKUP(O$139&amp;"_1",管理者用人口入力シート!CO:DL,Q144,FALSE),0)</f>
        <v>21</v>
      </c>
      <c r="P144" s="17">
        <f>ROUND(VLOOKUP(O$139&amp;"_2",管理者用人口入力シート!CO:DL,Q144,FALSE),0)</f>
        <v>22</v>
      </c>
      <c r="Q144" s="2">
        <v>7</v>
      </c>
    </row>
    <row r="145" spans="7:17" x14ac:dyDescent="0.15">
      <c r="G145" s="2" t="s">
        <v>4</v>
      </c>
      <c r="H145" s="17">
        <f>ROUND(VLOOKUP(H$139&amp;"_1",管理者用人口入力シート!BH:CE,J145,FALSE),0)</f>
        <v>17</v>
      </c>
      <c r="I145" s="17">
        <f>ROUND(VLOOKUP(H$139&amp;"_2",管理者用人口入力シート!BH:CE,J145,FALSE),0)</f>
        <v>18</v>
      </c>
      <c r="J145" s="2">
        <v>8</v>
      </c>
      <c r="N145" s="2" t="s">
        <v>4</v>
      </c>
      <c r="O145" s="17">
        <f>ROUND(VLOOKUP(O$139&amp;"_1",管理者用人口入力シート!CO:DL,Q145,FALSE),0)</f>
        <v>17</v>
      </c>
      <c r="P145" s="17">
        <f>ROUND(VLOOKUP(O$139&amp;"_2",管理者用人口入力シート!CO:DL,Q145,FALSE),0)</f>
        <v>19</v>
      </c>
      <c r="Q145" s="2">
        <v>8</v>
      </c>
    </row>
    <row r="146" spans="7:17" x14ac:dyDescent="0.15">
      <c r="G146" s="2" t="s">
        <v>5</v>
      </c>
      <c r="H146" s="17">
        <f>ROUND(VLOOKUP(H$139&amp;"_1",管理者用人口入力シート!BH:CE,J146,FALSE),0)</f>
        <v>18</v>
      </c>
      <c r="I146" s="17">
        <f>ROUND(VLOOKUP(H$139&amp;"_2",管理者用人口入力シート!BH:CE,J146,FALSE),0)</f>
        <v>15</v>
      </c>
      <c r="J146" s="2">
        <v>9</v>
      </c>
      <c r="N146" s="2" t="s">
        <v>5</v>
      </c>
      <c r="O146" s="17">
        <f>ROUND(VLOOKUP(O$139&amp;"_1",管理者用人口入力シート!CO:DL,Q146,FALSE),0)</f>
        <v>20</v>
      </c>
      <c r="P146" s="17">
        <f>ROUND(VLOOKUP(O$139&amp;"_2",管理者用人口入力シート!CO:DL,Q146,FALSE),0)</f>
        <v>18</v>
      </c>
      <c r="Q146" s="2">
        <v>9</v>
      </c>
    </row>
    <row r="147" spans="7:17" x14ac:dyDescent="0.15">
      <c r="G147" s="2" t="s">
        <v>6</v>
      </c>
      <c r="H147" s="17">
        <f>ROUND(VLOOKUP(H$139&amp;"_1",管理者用人口入力シート!BH:CE,J147,FALSE),0)</f>
        <v>19</v>
      </c>
      <c r="I147" s="17">
        <f>ROUND(VLOOKUP(H$139&amp;"_2",管理者用人口入力シート!BH:CE,J147,FALSE),0)</f>
        <v>15</v>
      </c>
      <c r="J147" s="2">
        <v>10</v>
      </c>
      <c r="N147" s="2" t="s">
        <v>6</v>
      </c>
      <c r="O147" s="17">
        <f>ROUND(VLOOKUP(O$139&amp;"_1",管理者用人口入力シート!CO:DL,Q147,FALSE),0)</f>
        <v>21</v>
      </c>
      <c r="P147" s="17">
        <f>ROUND(VLOOKUP(O$139&amp;"_2",管理者用人口入力シート!CO:DL,Q147,FALSE),0)</f>
        <v>17</v>
      </c>
      <c r="Q147" s="2">
        <v>10</v>
      </c>
    </row>
    <row r="148" spans="7:17" x14ac:dyDescent="0.15">
      <c r="G148" s="2" t="s">
        <v>7</v>
      </c>
      <c r="H148" s="17">
        <f>ROUND(VLOOKUP(H$139&amp;"_1",管理者用人口入力シート!BH:CE,J148,FALSE),0)</f>
        <v>24</v>
      </c>
      <c r="I148" s="17">
        <f>ROUND(VLOOKUP(H$139&amp;"_2",管理者用人口入力シート!BH:CE,J148,FALSE),0)</f>
        <v>17</v>
      </c>
      <c r="J148" s="2">
        <v>11</v>
      </c>
      <c r="N148" s="2" t="s">
        <v>7</v>
      </c>
      <c r="O148" s="17">
        <f>ROUND(VLOOKUP(O$139&amp;"_1",管理者用人口入力シート!CO:DL,Q148,FALSE),0)</f>
        <v>25</v>
      </c>
      <c r="P148" s="17">
        <f>ROUND(VLOOKUP(O$139&amp;"_2",管理者用人口入力シート!CO:DL,Q148,FALSE),0)</f>
        <v>18</v>
      </c>
      <c r="Q148" s="2">
        <v>11</v>
      </c>
    </row>
    <row r="149" spans="7:17" x14ac:dyDescent="0.15">
      <c r="G149" s="2" t="s">
        <v>8</v>
      </c>
      <c r="H149" s="17">
        <f>ROUND(VLOOKUP(H$139&amp;"_1",管理者用人口入力シート!BH:CE,J149,FALSE),0)</f>
        <v>17</v>
      </c>
      <c r="I149" s="17">
        <f>ROUND(VLOOKUP(H$139&amp;"_2",管理者用人口入力シート!BH:CE,J149,FALSE),0)</f>
        <v>20</v>
      </c>
      <c r="J149" s="2">
        <v>12</v>
      </c>
      <c r="N149" s="2" t="s">
        <v>8</v>
      </c>
      <c r="O149" s="17">
        <f>ROUND(VLOOKUP(O$139&amp;"_1",管理者用人口入力シート!CO:DL,Q149,FALSE),0)</f>
        <v>18</v>
      </c>
      <c r="P149" s="17">
        <f>ROUND(VLOOKUP(O$139&amp;"_2",管理者用人口入力シート!CO:DL,Q149,FALSE),0)</f>
        <v>22</v>
      </c>
      <c r="Q149" s="2">
        <v>12</v>
      </c>
    </row>
    <row r="150" spans="7:17" x14ac:dyDescent="0.15">
      <c r="G150" s="2" t="s">
        <v>9</v>
      </c>
      <c r="H150" s="17">
        <f>ROUND(VLOOKUP(H$139&amp;"_1",管理者用人口入力シート!BH:CE,J150,FALSE),0)</f>
        <v>24</v>
      </c>
      <c r="I150" s="17">
        <f>ROUND(VLOOKUP(H$139&amp;"_2",管理者用人口入力シート!BH:CE,J150,FALSE),0)</f>
        <v>23</v>
      </c>
      <c r="J150" s="2">
        <v>13</v>
      </c>
      <c r="N150" s="2" t="s">
        <v>9</v>
      </c>
      <c r="O150" s="17">
        <f>ROUND(VLOOKUP(O$139&amp;"_1",管理者用人口入力シート!CO:DL,Q150,FALSE),0)</f>
        <v>24</v>
      </c>
      <c r="P150" s="17">
        <f>ROUND(VLOOKUP(O$139&amp;"_2",管理者用人口入力シート!CO:DL,Q150,FALSE),0)</f>
        <v>24</v>
      </c>
      <c r="Q150" s="2">
        <v>13</v>
      </c>
    </row>
    <row r="151" spans="7:17" x14ac:dyDescent="0.15">
      <c r="G151" s="2" t="s">
        <v>10</v>
      </c>
      <c r="H151" s="17">
        <f>ROUND(VLOOKUP(H$139&amp;"_1",管理者用人口入力シート!BH:CE,J151,FALSE),0)</f>
        <v>49</v>
      </c>
      <c r="I151" s="17">
        <f>ROUND(VLOOKUP(H$139&amp;"_2",管理者用人口入力シート!BH:CE,J151,FALSE),0)</f>
        <v>52</v>
      </c>
      <c r="J151" s="2">
        <v>14</v>
      </c>
      <c r="N151" s="2" t="s">
        <v>10</v>
      </c>
      <c r="O151" s="17">
        <f>ROUND(VLOOKUP(O$139&amp;"_1",管理者用人口入力シート!CO:DL,Q151,FALSE),0)</f>
        <v>49</v>
      </c>
      <c r="P151" s="17">
        <f>ROUND(VLOOKUP(O$139&amp;"_2",管理者用人口入力シート!CO:DL,Q151,FALSE),0)</f>
        <v>53</v>
      </c>
      <c r="Q151" s="2">
        <v>14</v>
      </c>
    </row>
    <row r="152" spans="7:17" x14ac:dyDescent="0.15">
      <c r="G152" s="2" t="s">
        <v>11</v>
      </c>
      <c r="H152" s="17">
        <f>ROUND(VLOOKUP(H$139&amp;"_1",管理者用人口入力シート!BH:CE,J152,FALSE),0)</f>
        <v>63</v>
      </c>
      <c r="I152" s="17">
        <f>ROUND(VLOOKUP(H$139&amp;"_2",管理者用人口入力シート!BH:CE,J152,FALSE),0)</f>
        <v>68</v>
      </c>
      <c r="J152" s="2">
        <v>15</v>
      </c>
      <c r="N152" s="2" t="s">
        <v>11</v>
      </c>
      <c r="O152" s="17">
        <f>ROUND(VLOOKUP(O$139&amp;"_1",管理者用人口入力シート!CO:DL,Q152,FALSE),0)</f>
        <v>63</v>
      </c>
      <c r="P152" s="17">
        <f>ROUND(VLOOKUP(O$139&amp;"_2",管理者用人口入力シート!CO:DL,Q152,FALSE),0)</f>
        <v>69</v>
      </c>
      <c r="Q152" s="2">
        <v>15</v>
      </c>
    </row>
    <row r="153" spans="7:17" x14ac:dyDescent="0.15">
      <c r="G153" s="2" t="s">
        <v>12</v>
      </c>
      <c r="H153" s="17">
        <f>ROUND(VLOOKUP(H$139&amp;"_1",管理者用人口入力シート!BH:CE,J153,FALSE),0)</f>
        <v>81</v>
      </c>
      <c r="I153" s="17">
        <f>ROUND(VLOOKUP(H$139&amp;"_2",管理者用人口入力シート!BH:CE,J153,FALSE),0)</f>
        <v>74</v>
      </c>
      <c r="J153" s="2">
        <v>16</v>
      </c>
      <c r="N153" s="2" t="s">
        <v>12</v>
      </c>
      <c r="O153" s="17">
        <f>ROUND(VLOOKUP(O$139&amp;"_1",管理者用人口入力シート!CO:DL,Q153,FALSE),0)</f>
        <v>81</v>
      </c>
      <c r="P153" s="17">
        <f>ROUND(VLOOKUP(O$139&amp;"_2",管理者用人口入力シート!CO:DL,Q153,FALSE),0)</f>
        <v>74</v>
      </c>
      <c r="Q153" s="2">
        <v>16</v>
      </c>
    </row>
    <row r="154" spans="7:17" x14ac:dyDescent="0.15">
      <c r="G154" s="2" t="s">
        <v>13</v>
      </c>
      <c r="H154" s="17">
        <f>ROUND(VLOOKUP(H$139&amp;"_1",管理者用人口入力シート!BH:CE,J154,FALSE),0)</f>
        <v>89</v>
      </c>
      <c r="I154" s="17">
        <f>ROUND(VLOOKUP(H$139&amp;"_2",管理者用人口入力シート!BH:CE,J154,FALSE),0)</f>
        <v>81</v>
      </c>
      <c r="J154" s="2">
        <v>17</v>
      </c>
      <c r="N154" s="2" t="s">
        <v>13</v>
      </c>
      <c r="O154" s="17">
        <f>ROUND(VLOOKUP(O$139&amp;"_1",管理者用人口入力シート!CO:DL,Q154,FALSE),0)</f>
        <v>89</v>
      </c>
      <c r="P154" s="17">
        <f>ROUND(VLOOKUP(O$139&amp;"_2",管理者用人口入力シート!CO:DL,Q154,FALSE),0)</f>
        <v>81</v>
      </c>
      <c r="Q154" s="2">
        <v>17</v>
      </c>
    </row>
    <row r="155" spans="7:17" x14ac:dyDescent="0.15">
      <c r="G155" s="2" t="s">
        <v>14</v>
      </c>
      <c r="H155" s="17">
        <f>ROUND(VLOOKUP(H$139&amp;"_1",管理者用人口入力シート!BH:CE,J155,FALSE),0)</f>
        <v>62</v>
      </c>
      <c r="I155" s="17">
        <f>ROUND(VLOOKUP(H$139&amp;"_2",管理者用人口入力シート!BH:CE,J155,FALSE),0)</f>
        <v>68</v>
      </c>
      <c r="J155" s="2">
        <v>18</v>
      </c>
      <c r="N155" s="2" t="s">
        <v>14</v>
      </c>
      <c r="O155" s="17">
        <f>ROUND(VLOOKUP(O$139&amp;"_1",管理者用人口入力シート!CO:DL,Q155,FALSE),0)</f>
        <v>62</v>
      </c>
      <c r="P155" s="17">
        <f>ROUND(VLOOKUP(O$139&amp;"_2",管理者用人口入力シート!CO:DL,Q155,FALSE),0)</f>
        <v>68</v>
      </c>
      <c r="Q155" s="2">
        <v>18</v>
      </c>
    </row>
    <row r="156" spans="7:17" x14ac:dyDescent="0.15">
      <c r="G156" s="2" t="s">
        <v>15</v>
      </c>
      <c r="H156" s="17">
        <f>ROUND(VLOOKUP(H$139&amp;"_1",管理者用人口入力シート!BH:CE,J156,FALSE),0)</f>
        <v>74</v>
      </c>
      <c r="I156" s="17">
        <f>ROUND(VLOOKUP(H$139&amp;"_2",管理者用人口入力シート!BH:CE,J156,FALSE),0)</f>
        <v>90</v>
      </c>
      <c r="J156" s="2">
        <v>19</v>
      </c>
      <c r="N156" s="2" t="s">
        <v>15</v>
      </c>
      <c r="O156" s="17">
        <f>ROUND(VLOOKUP(O$139&amp;"_1",管理者用人口入力シート!CO:DL,Q156,FALSE),0)</f>
        <v>74</v>
      </c>
      <c r="P156" s="17">
        <f>ROUND(VLOOKUP(O$139&amp;"_2",管理者用人口入力シート!CO:DL,Q156,FALSE),0)</f>
        <v>90</v>
      </c>
      <c r="Q156" s="2">
        <v>19</v>
      </c>
    </row>
    <row r="157" spans="7:17" x14ac:dyDescent="0.15">
      <c r="G157" s="2" t="s">
        <v>16</v>
      </c>
      <c r="H157" s="17">
        <f>ROUND(VLOOKUP(H$139&amp;"_1",管理者用人口入力シート!BH:CE,J157,FALSE),0)</f>
        <v>78</v>
      </c>
      <c r="I157" s="17">
        <f>ROUND(VLOOKUP(H$139&amp;"_2",管理者用人口入力シート!BH:CE,J157,FALSE),0)</f>
        <v>127</v>
      </c>
      <c r="J157" s="2">
        <v>20</v>
      </c>
      <c r="N157" s="2" t="s">
        <v>16</v>
      </c>
      <c r="O157" s="17">
        <f>ROUND(VLOOKUP(O$139&amp;"_1",管理者用人口入力シート!CO:DL,Q157,FALSE),0)</f>
        <v>78</v>
      </c>
      <c r="P157" s="17">
        <f>ROUND(VLOOKUP(O$139&amp;"_2",管理者用人口入力シート!CO:DL,Q157,FALSE),0)</f>
        <v>127</v>
      </c>
      <c r="Q157" s="2">
        <v>20</v>
      </c>
    </row>
    <row r="158" spans="7:17" x14ac:dyDescent="0.15">
      <c r="G158" s="2" t="s">
        <v>17</v>
      </c>
      <c r="H158" s="17">
        <f>ROUND(VLOOKUP(H$139&amp;"_1",管理者用人口入力シート!BH:CE,J158,FALSE),0)</f>
        <v>68</v>
      </c>
      <c r="I158" s="17">
        <f>ROUND(VLOOKUP(H$139&amp;"_2",管理者用人口入力シート!BH:CE,J158,FALSE),0)</f>
        <v>122</v>
      </c>
      <c r="J158" s="2">
        <v>21</v>
      </c>
      <c r="N158" s="2" t="s">
        <v>17</v>
      </c>
      <c r="O158" s="17">
        <f>ROUND(VLOOKUP(O$139&amp;"_1",管理者用人口入力シート!CO:DL,Q158,FALSE),0)</f>
        <v>68</v>
      </c>
      <c r="P158" s="17">
        <f>ROUND(VLOOKUP(O$139&amp;"_2",管理者用人口入力シート!CO:DL,Q158,FALSE),0)</f>
        <v>122</v>
      </c>
      <c r="Q158" s="2">
        <v>21</v>
      </c>
    </row>
    <row r="159" spans="7:17" x14ac:dyDescent="0.15">
      <c r="G159" s="2" t="s">
        <v>18</v>
      </c>
      <c r="H159" s="17">
        <f>ROUND(VLOOKUP(H$139&amp;"_1",管理者用人口入力シート!BH:CE,J159,FALSE),0)</f>
        <v>29</v>
      </c>
      <c r="I159" s="17">
        <f>ROUND(VLOOKUP(H$139&amp;"_2",管理者用人口入力シート!BH:CE,J159,FALSE),0)</f>
        <v>72</v>
      </c>
      <c r="J159" s="2">
        <v>22</v>
      </c>
      <c r="N159" s="2" t="s">
        <v>18</v>
      </c>
      <c r="O159" s="17">
        <f>ROUND(VLOOKUP(O$139&amp;"_1",管理者用人口入力シート!CO:DL,Q159,FALSE),0)</f>
        <v>29</v>
      </c>
      <c r="P159" s="17">
        <f>ROUND(VLOOKUP(O$139&amp;"_2",管理者用人口入力シート!CO:DL,Q159,FALSE),0)</f>
        <v>72</v>
      </c>
      <c r="Q159" s="2">
        <v>22</v>
      </c>
    </row>
    <row r="160" spans="7:17" x14ac:dyDescent="0.15">
      <c r="G160" s="2" t="s">
        <v>19</v>
      </c>
      <c r="H160" s="17">
        <f>ROUND(VLOOKUP(H$139&amp;"_1",管理者用人口入力シート!BH:CE,J160,FALSE),0)</f>
        <v>9</v>
      </c>
      <c r="I160" s="17">
        <f>ROUND(VLOOKUP(H$139&amp;"_2",管理者用人口入力シート!BH:CE,J160,FALSE),0)</f>
        <v>24</v>
      </c>
      <c r="J160" s="2">
        <v>23</v>
      </c>
      <c r="N160" s="2" t="s">
        <v>19</v>
      </c>
      <c r="O160" s="17">
        <f>ROUND(VLOOKUP(O$139&amp;"_1",管理者用人口入力シート!CO:DL,Q160,FALSE),0)</f>
        <v>9</v>
      </c>
      <c r="P160" s="17">
        <f>ROUND(VLOOKUP(O$139&amp;"_2",管理者用人口入力シート!CO:DL,Q160,FALSE),0)</f>
        <v>24</v>
      </c>
      <c r="Q160" s="2">
        <v>23</v>
      </c>
    </row>
    <row r="161" spans="7:17" x14ac:dyDescent="0.15">
      <c r="G161" s="2" t="s">
        <v>20</v>
      </c>
      <c r="H161" s="17">
        <f>ROUND(VLOOKUP(H$139&amp;"_1",管理者用人口入力シート!BH:CE,J161,FALSE),0)</f>
        <v>0</v>
      </c>
      <c r="I161" s="17">
        <f>ROUND(VLOOKUP(H$139&amp;"_2",管理者用人口入力シート!BH:CE,J161,FALSE),0)</f>
        <v>6</v>
      </c>
      <c r="J161" s="2">
        <v>24</v>
      </c>
      <c r="N161" s="2" t="s">
        <v>20</v>
      </c>
      <c r="O161" s="17">
        <f>ROUND(VLOOKUP(O$139&amp;"_1",管理者用人口入力シート!CO:DL,Q161,FALSE),0)</f>
        <v>0</v>
      </c>
      <c r="P161" s="17">
        <f>ROUND(VLOOKUP(O$139&amp;"_2",管理者用人口入力シート!CO:DL,Q161,FALSE),0)</f>
        <v>6</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8</v>
      </c>
      <c r="I165" s="17">
        <f>ROUND(VLOOKUP(H$163&amp;"_2",管理者用人口入力シート!BH:CE,J165,FALSE),0)</f>
        <v>11</v>
      </c>
      <c r="J165" s="2">
        <v>4</v>
      </c>
      <c r="N165" s="2" t="s">
        <v>0</v>
      </c>
      <c r="O165" s="17">
        <f>ROUND(VLOOKUP(O$163&amp;"_1",管理者用人口入力シート!CO:DL,Q165,FALSE),0)</f>
        <v>11</v>
      </c>
      <c r="P165" s="17">
        <f>ROUND(VLOOKUP(O$163&amp;"_2",管理者用人口入力シート!CO:DL,Q165,FALSE),0)</f>
        <v>13</v>
      </c>
      <c r="Q165" s="2">
        <v>4</v>
      </c>
    </row>
    <row r="166" spans="7:17" x14ac:dyDescent="0.15">
      <c r="G166" s="2" t="s">
        <v>1</v>
      </c>
      <c r="H166" s="17">
        <f>ROUND(VLOOKUP(H$163&amp;"_1",管理者用人口入力シート!BH:CE,J166,FALSE),0)</f>
        <v>11</v>
      </c>
      <c r="I166" s="17">
        <f>ROUND(VLOOKUP(H$163&amp;"_2",管理者用人口入力シート!BH:CE,J166,FALSE),0)</f>
        <v>14</v>
      </c>
      <c r="J166" s="2">
        <v>5</v>
      </c>
      <c r="N166" s="2" t="s">
        <v>1</v>
      </c>
      <c r="O166" s="17">
        <f>ROUND(VLOOKUP(O$163&amp;"_1",管理者用人口入力シート!CO:DL,Q166,FALSE),0)</f>
        <v>13</v>
      </c>
      <c r="P166" s="17">
        <f>ROUND(VLOOKUP(O$163&amp;"_2",管理者用人口入力シート!CO:DL,Q166,FALSE),0)</f>
        <v>16</v>
      </c>
      <c r="Q166" s="2">
        <v>5</v>
      </c>
    </row>
    <row r="167" spans="7:17" x14ac:dyDescent="0.15">
      <c r="G167" s="2" t="s">
        <v>2</v>
      </c>
      <c r="H167" s="17">
        <f>ROUND(VLOOKUP(H$163&amp;"_1",管理者用人口入力シート!BH:CE,J167,FALSE),0)</f>
        <v>13</v>
      </c>
      <c r="I167" s="17">
        <f>ROUND(VLOOKUP(H$163&amp;"_2",管理者用人口入力シート!BH:CE,J167,FALSE),0)</f>
        <v>15</v>
      </c>
      <c r="J167" s="2">
        <v>6</v>
      </c>
      <c r="N167" s="2" t="s">
        <v>2</v>
      </c>
      <c r="O167" s="17">
        <f>ROUND(VLOOKUP(O$163&amp;"_1",管理者用人口入力シート!CO:DL,Q167,FALSE),0)</f>
        <v>16</v>
      </c>
      <c r="P167" s="17">
        <f>ROUND(VLOOKUP(O$163&amp;"_2",管理者用人口入力シート!CO:DL,Q167,FALSE),0)</f>
        <v>18</v>
      </c>
      <c r="Q167" s="2">
        <v>6</v>
      </c>
    </row>
    <row r="168" spans="7:17" x14ac:dyDescent="0.15">
      <c r="G168" s="2" t="s">
        <v>3</v>
      </c>
      <c r="H168" s="17">
        <f>ROUND(VLOOKUP(H$163&amp;"_1",管理者用人口入力シート!BH:CE,J168,FALSE),0)</f>
        <v>13</v>
      </c>
      <c r="I168" s="17">
        <f>ROUND(VLOOKUP(H$163&amp;"_2",管理者用人口入力シート!BH:CE,J168,FALSE),0)</f>
        <v>14</v>
      </c>
      <c r="J168" s="2">
        <v>7</v>
      </c>
      <c r="N168" s="2" t="s">
        <v>3</v>
      </c>
      <c r="O168" s="17">
        <f>ROUND(VLOOKUP(O$163&amp;"_1",管理者用人口入力シート!CO:DL,Q168,FALSE),0)</f>
        <v>15</v>
      </c>
      <c r="P168" s="17">
        <f>ROUND(VLOOKUP(O$163&amp;"_2",管理者用人口入力シート!CO:DL,Q168,FALSE),0)</f>
        <v>16</v>
      </c>
      <c r="Q168" s="2">
        <v>7</v>
      </c>
    </row>
    <row r="169" spans="7:17" x14ac:dyDescent="0.15">
      <c r="G169" s="2" t="s">
        <v>4</v>
      </c>
      <c r="H169" s="17">
        <f>ROUND(VLOOKUP(H$163&amp;"_1",管理者用人口入力シート!BH:CE,J169,FALSE),0)</f>
        <v>12</v>
      </c>
      <c r="I169" s="17">
        <f>ROUND(VLOOKUP(H$163&amp;"_2",管理者用人口入力シート!BH:CE,J169,FALSE),0)</f>
        <v>13</v>
      </c>
      <c r="J169" s="2">
        <v>8</v>
      </c>
      <c r="N169" s="2" t="s">
        <v>4</v>
      </c>
      <c r="O169" s="17">
        <f>ROUND(VLOOKUP(O$163&amp;"_1",管理者用人口入力シート!CO:DL,Q169,FALSE),0)</f>
        <v>13</v>
      </c>
      <c r="P169" s="17">
        <f>ROUND(VLOOKUP(O$163&amp;"_2",管理者用人口入力シート!CO:DL,Q169,FALSE),0)</f>
        <v>14</v>
      </c>
      <c r="Q169" s="2">
        <v>8</v>
      </c>
    </row>
    <row r="170" spans="7:17" x14ac:dyDescent="0.15">
      <c r="G170" s="2" t="s">
        <v>5</v>
      </c>
      <c r="H170" s="17">
        <f>ROUND(VLOOKUP(H$163&amp;"_1",管理者用人口入力シート!BH:CE,J170,FALSE),0)</f>
        <v>11</v>
      </c>
      <c r="I170" s="17">
        <f>ROUND(VLOOKUP(H$163&amp;"_2",管理者用人口入力シート!BH:CE,J170,FALSE),0)</f>
        <v>15</v>
      </c>
      <c r="J170" s="2">
        <v>9</v>
      </c>
      <c r="N170" s="2" t="s">
        <v>5</v>
      </c>
      <c r="O170" s="17">
        <f>ROUND(VLOOKUP(O$163&amp;"_1",管理者用人口入力シート!CO:DL,Q170,FALSE),0)</f>
        <v>14</v>
      </c>
      <c r="P170" s="17">
        <f>ROUND(VLOOKUP(O$163&amp;"_2",管理者用人口入力シート!CO:DL,Q170,FALSE),0)</f>
        <v>17</v>
      </c>
      <c r="Q170" s="2">
        <v>9</v>
      </c>
    </row>
    <row r="171" spans="7:17" x14ac:dyDescent="0.15">
      <c r="G171" s="2" t="s">
        <v>6</v>
      </c>
      <c r="H171" s="17">
        <f>ROUND(VLOOKUP(H$163&amp;"_1",管理者用人口入力シート!BH:CE,J171,FALSE),0)</f>
        <v>16</v>
      </c>
      <c r="I171" s="17">
        <f>ROUND(VLOOKUP(H$163&amp;"_2",管理者用人口入力シート!BH:CE,J171,FALSE),0)</f>
        <v>13</v>
      </c>
      <c r="J171" s="2">
        <v>10</v>
      </c>
      <c r="N171" s="2" t="s">
        <v>6</v>
      </c>
      <c r="O171" s="17">
        <f>ROUND(VLOOKUP(O$163&amp;"_1",管理者用人口入力シート!CO:DL,Q171,FALSE),0)</f>
        <v>18</v>
      </c>
      <c r="P171" s="17">
        <f>ROUND(VLOOKUP(O$163&amp;"_2",管理者用人口入力シート!CO:DL,Q171,FALSE),0)</f>
        <v>15</v>
      </c>
      <c r="Q171" s="2">
        <v>10</v>
      </c>
    </row>
    <row r="172" spans="7:17" x14ac:dyDescent="0.15">
      <c r="G172" s="2" t="s">
        <v>7</v>
      </c>
      <c r="H172" s="17">
        <f>ROUND(VLOOKUP(H$163&amp;"_1",管理者用人口入力シート!BH:CE,J172,FALSE),0)</f>
        <v>18</v>
      </c>
      <c r="I172" s="17">
        <f>ROUND(VLOOKUP(H$163&amp;"_2",管理者用人口入力シート!BH:CE,J172,FALSE),0)</f>
        <v>14</v>
      </c>
      <c r="J172" s="2">
        <v>11</v>
      </c>
      <c r="N172" s="2" t="s">
        <v>7</v>
      </c>
      <c r="O172" s="17">
        <f>ROUND(VLOOKUP(O$163&amp;"_1",管理者用人口入力シート!CO:DL,Q172,FALSE),0)</f>
        <v>20</v>
      </c>
      <c r="P172" s="17">
        <f>ROUND(VLOOKUP(O$163&amp;"_2",管理者用人口入力シート!CO:DL,Q172,FALSE),0)</f>
        <v>15</v>
      </c>
      <c r="Q172" s="2">
        <v>11</v>
      </c>
    </row>
    <row r="173" spans="7:17" x14ac:dyDescent="0.15">
      <c r="G173" s="2" t="s">
        <v>8</v>
      </c>
      <c r="H173" s="17">
        <f>ROUND(VLOOKUP(H$163&amp;"_1",管理者用人口入力シート!BH:CE,J173,FALSE),0)</f>
        <v>24</v>
      </c>
      <c r="I173" s="17">
        <f>ROUND(VLOOKUP(H$163&amp;"_2",管理者用人口入力シート!BH:CE,J173,FALSE),0)</f>
        <v>17</v>
      </c>
      <c r="J173" s="2">
        <v>12</v>
      </c>
      <c r="N173" s="2" t="s">
        <v>8</v>
      </c>
      <c r="O173" s="17">
        <f>ROUND(VLOOKUP(O$163&amp;"_1",管理者用人口入力シート!CO:DL,Q173,FALSE),0)</f>
        <v>25</v>
      </c>
      <c r="P173" s="17">
        <f>ROUND(VLOOKUP(O$163&amp;"_2",管理者用人口入力シート!CO:DL,Q173,FALSE),0)</f>
        <v>19</v>
      </c>
      <c r="Q173" s="2">
        <v>12</v>
      </c>
    </row>
    <row r="174" spans="7:17" x14ac:dyDescent="0.15">
      <c r="G174" s="2" t="s">
        <v>9</v>
      </c>
      <c r="H174" s="17">
        <f>ROUND(VLOOKUP(H$163&amp;"_1",管理者用人口入力シート!BH:CE,J174,FALSE),0)</f>
        <v>16</v>
      </c>
      <c r="I174" s="17">
        <f>ROUND(VLOOKUP(H$163&amp;"_2",管理者用人口入力シート!BH:CE,J174,FALSE),0)</f>
        <v>19</v>
      </c>
      <c r="J174" s="2">
        <v>13</v>
      </c>
      <c r="N174" s="2" t="s">
        <v>9</v>
      </c>
      <c r="O174" s="17">
        <f>ROUND(VLOOKUP(O$163&amp;"_1",管理者用人口入力シート!CO:DL,Q174,FALSE),0)</f>
        <v>18</v>
      </c>
      <c r="P174" s="17">
        <f>ROUND(VLOOKUP(O$163&amp;"_2",管理者用人口入力シート!CO:DL,Q174,FALSE),0)</f>
        <v>21</v>
      </c>
      <c r="Q174" s="2">
        <v>13</v>
      </c>
    </row>
    <row r="175" spans="7:17" x14ac:dyDescent="0.15">
      <c r="G175" s="2" t="s">
        <v>10</v>
      </c>
      <c r="H175" s="17">
        <f>ROUND(VLOOKUP(H$163&amp;"_1",管理者用人口入力シート!BH:CE,J175,FALSE),0)</f>
        <v>24</v>
      </c>
      <c r="I175" s="17">
        <f>ROUND(VLOOKUP(H$163&amp;"_2",管理者用人口入力シート!BH:CE,J175,FALSE),0)</f>
        <v>24</v>
      </c>
      <c r="J175" s="2">
        <v>14</v>
      </c>
      <c r="N175" s="2" t="s">
        <v>10</v>
      </c>
      <c r="O175" s="17">
        <f>ROUND(VLOOKUP(O$163&amp;"_1",管理者用人口入力シート!CO:DL,Q175,FALSE),0)</f>
        <v>24</v>
      </c>
      <c r="P175" s="17">
        <f>ROUND(VLOOKUP(O$163&amp;"_2",管理者用人口入力シート!CO:DL,Q175,FALSE),0)</f>
        <v>25</v>
      </c>
      <c r="Q175" s="2">
        <v>14</v>
      </c>
    </row>
    <row r="176" spans="7:17" x14ac:dyDescent="0.15">
      <c r="G176" s="2" t="s">
        <v>11</v>
      </c>
      <c r="H176" s="17">
        <f>ROUND(VLOOKUP(H$163&amp;"_1",管理者用人口入力シート!BH:CE,J176,FALSE),0)</f>
        <v>49</v>
      </c>
      <c r="I176" s="17">
        <f>ROUND(VLOOKUP(H$163&amp;"_2",管理者用人口入力シート!BH:CE,J176,FALSE),0)</f>
        <v>53</v>
      </c>
      <c r="J176" s="2">
        <v>15</v>
      </c>
      <c r="N176" s="2" t="s">
        <v>11</v>
      </c>
      <c r="O176" s="17">
        <f>ROUND(VLOOKUP(O$163&amp;"_1",管理者用人口入力シート!CO:DL,Q176,FALSE),0)</f>
        <v>49</v>
      </c>
      <c r="P176" s="17">
        <f>ROUND(VLOOKUP(O$163&amp;"_2",管理者用人口入力シート!CO:DL,Q176,FALSE),0)</f>
        <v>54</v>
      </c>
      <c r="Q176" s="2">
        <v>15</v>
      </c>
    </row>
    <row r="177" spans="7:17" x14ac:dyDescent="0.15">
      <c r="G177" s="2" t="s">
        <v>12</v>
      </c>
      <c r="H177" s="17">
        <f>ROUND(VLOOKUP(H$163&amp;"_1",管理者用人口入力シート!BH:CE,J177,FALSE),0)</f>
        <v>62</v>
      </c>
      <c r="I177" s="17">
        <f>ROUND(VLOOKUP(H$163&amp;"_2",管理者用人口入力シート!BH:CE,J177,FALSE),0)</f>
        <v>67</v>
      </c>
      <c r="J177" s="2">
        <v>16</v>
      </c>
      <c r="N177" s="2" t="s">
        <v>12</v>
      </c>
      <c r="O177" s="17">
        <f>ROUND(VLOOKUP(O$163&amp;"_1",管理者用人口入力シート!CO:DL,Q177,FALSE),0)</f>
        <v>62</v>
      </c>
      <c r="P177" s="17">
        <f>ROUND(VLOOKUP(O$163&amp;"_2",管理者用人口入力シート!CO:DL,Q177,FALSE),0)</f>
        <v>68</v>
      </c>
      <c r="Q177" s="2">
        <v>16</v>
      </c>
    </row>
    <row r="178" spans="7:17" x14ac:dyDescent="0.15">
      <c r="G178" s="2" t="s">
        <v>13</v>
      </c>
      <c r="H178" s="17">
        <f>ROUND(VLOOKUP(H$163&amp;"_1",管理者用人口入力シート!BH:CE,J178,FALSE),0)</f>
        <v>77</v>
      </c>
      <c r="I178" s="17">
        <f>ROUND(VLOOKUP(H$163&amp;"_2",管理者用人口入力シート!BH:CE,J178,FALSE),0)</f>
        <v>71</v>
      </c>
      <c r="J178" s="2">
        <v>17</v>
      </c>
      <c r="N178" s="2" t="s">
        <v>13</v>
      </c>
      <c r="O178" s="17">
        <f>ROUND(VLOOKUP(O$163&amp;"_1",管理者用人口入力シート!CO:DL,Q178,FALSE),0)</f>
        <v>77</v>
      </c>
      <c r="P178" s="17">
        <f>ROUND(VLOOKUP(O$163&amp;"_2",管理者用人口入力シート!CO:DL,Q178,FALSE),0)</f>
        <v>71</v>
      </c>
      <c r="Q178" s="2">
        <v>17</v>
      </c>
    </row>
    <row r="179" spans="7:17" x14ac:dyDescent="0.15">
      <c r="G179" s="2" t="s">
        <v>14</v>
      </c>
      <c r="H179" s="17">
        <f>ROUND(VLOOKUP(H$163&amp;"_1",管理者用人口入力シート!BH:CE,J179,FALSE),0)</f>
        <v>79</v>
      </c>
      <c r="I179" s="17">
        <f>ROUND(VLOOKUP(H$163&amp;"_2",管理者用人口入力シート!BH:CE,J179,FALSE),0)</f>
        <v>79</v>
      </c>
      <c r="J179" s="2">
        <v>18</v>
      </c>
      <c r="N179" s="2" t="s">
        <v>14</v>
      </c>
      <c r="O179" s="17">
        <f>ROUND(VLOOKUP(O$163&amp;"_1",管理者用人口入力シート!CO:DL,Q179,FALSE),0)</f>
        <v>79</v>
      </c>
      <c r="P179" s="17">
        <f>ROUND(VLOOKUP(O$163&amp;"_2",管理者用人口入力シート!CO:DL,Q179,FALSE),0)</f>
        <v>79</v>
      </c>
      <c r="Q179" s="2">
        <v>18</v>
      </c>
    </row>
    <row r="180" spans="7:17" x14ac:dyDescent="0.15">
      <c r="G180" s="2" t="s">
        <v>15</v>
      </c>
      <c r="H180" s="17">
        <f>ROUND(VLOOKUP(H$163&amp;"_1",管理者用人口入力シート!BH:CE,J180,FALSE),0)</f>
        <v>55</v>
      </c>
      <c r="I180" s="17">
        <f>ROUND(VLOOKUP(H$163&amp;"_2",管理者用人口入力シート!BH:CE,J180,FALSE),0)</f>
        <v>64</v>
      </c>
      <c r="J180" s="2">
        <v>19</v>
      </c>
      <c r="N180" s="2" t="s">
        <v>15</v>
      </c>
      <c r="O180" s="17">
        <f>ROUND(VLOOKUP(O$163&amp;"_1",管理者用人口入力シート!CO:DL,Q180,FALSE),0)</f>
        <v>55</v>
      </c>
      <c r="P180" s="17">
        <f>ROUND(VLOOKUP(O$163&amp;"_2",管理者用人口入力シート!CO:DL,Q180,FALSE),0)</f>
        <v>64</v>
      </c>
      <c r="Q180" s="2">
        <v>19</v>
      </c>
    </row>
    <row r="181" spans="7:17" x14ac:dyDescent="0.15">
      <c r="G181" s="2" t="s">
        <v>16</v>
      </c>
      <c r="H181" s="17">
        <f>ROUND(VLOOKUP(H$163&amp;"_1",管理者用人口入力シート!BH:CE,J181,FALSE),0)</f>
        <v>55</v>
      </c>
      <c r="I181" s="17">
        <f>ROUND(VLOOKUP(H$163&amp;"_2",管理者用人口入力シート!BH:CE,J181,FALSE),0)</f>
        <v>81</v>
      </c>
      <c r="J181" s="2">
        <v>20</v>
      </c>
      <c r="N181" s="2" t="s">
        <v>16</v>
      </c>
      <c r="O181" s="17">
        <f>ROUND(VLOOKUP(O$163&amp;"_1",管理者用人口入力シート!CO:DL,Q181,FALSE),0)</f>
        <v>55</v>
      </c>
      <c r="P181" s="17">
        <f>ROUND(VLOOKUP(O$163&amp;"_2",管理者用人口入力シート!CO:DL,Q181,FALSE),0)</f>
        <v>81</v>
      </c>
      <c r="Q181" s="2">
        <v>20</v>
      </c>
    </row>
    <row r="182" spans="7:17" x14ac:dyDescent="0.15">
      <c r="G182" s="2" t="s">
        <v>17</v>
      </c>
      <c r="H182" s="17">
        <f>ROUND(VLOOKUP(H$163&amp;"_1",管理者用人口入力シート!BH:CE,J182,FALSE),0)</f>
        <v>49</v>
      </c>
      <c r="I182" s="17">
        <f>ROUND(VLOOKUP(H$163&amp;"_2",管理者用人口入力シート!BH:CE,J182,FALSE),0)</f>
        <v>101</v>
      </c>
      <c r="J182" s="2">
        <v>21</v>
      </c>
      <c r="N182" s="2" t="s">
        <v>17</v>
      </c>
      <c r="O182" s="17">
        <f>ROUND(VLOOKUP(O$163&amp;"_1",管理者用人口入力シート!CO:DL,Q182,FALSE),0)</f>
        <v>49</v>
      </c>
      <c r="P182" s="17">
        <f>ROUND(VLOOKUP(O$163&amp;"_2",管理者用人口入力シート!CO:DL,Q182,FALSE),0)</f>
        <v>101</v>
      </c>
      <c r="Q182" s="2">
        <v>21</v>
      </c>
    </row>
    <row r="183" spans="7:17" x14ac:dyDescent="0.15">
      <c r="G183" s="2" t="s">
        <v>18</v>
      </c>
      <c r="H183" s="17">
        <f>ROUND(VLOOKUP(H$163&amp;"_1",管理者用人口入力シート!BH:CE,J183,FALSE),0)</f>
        <v>31</v>
      </c>
      <c r="I183" s="17">
        <f>ROUND(VLOOKUP(H$163&amp;"_2",管理者用人口入力シート!BH:CE,J183,FALSE),0)</f>
        <v>69</v>
      </c>
      <c r="J183" s="2">
        <v>22</v>
      </c>
      <c r="N183" s="2" t="s">
        <v>18</v>
      </c>
      <c r="O183" s="17">
        <f>ROUND(VLOOKUP(O$163&amp;"_1",管理者用人口入力シート!CO:DL,Q183,FALSE),0)</f>
        <v>31</v>
      </c>
      <c r="P183" s="17">
        <f>ROUND(VLOOKUP(O$163&amp;"_2",管理者用人口入力シート!CO:DL,Q183,FALSE),0)</f>
        <v>69</v>
      </c>
      <c r="Q183" s="2">
        <v>22</v>
      </c>
    </row>
    <row r="184" spans="7:17" x14ac:dyDescent="0.15">
      <c r="G184" s="2" t="s">
        <v>19</v>
      </c>
      <c r="H184" s="17">
        <f>ROUND(VLOOKUP(H$163&amp;"_1",管理者用人口入力シート!BH:CE,J184,FALSE),0)</f>
        <v>12</v>
      </c>
      <c r="I184" s="17">
        <f>ROUND(VLOOKUP(H$163&amp;"_2",管理者用人口入力シート!BH:CE,J184,FALSE),0)</f>
        <v>29</v>
      </c>
      <c r="J184" s="2">
        <v>23</v>
      </c>
      <c r="N184" s="2" t="s">
        <v>19</v>
      </c>
      <c r="O184" s="17">
        <f>ROUND(VLOOKUP(O$163&amp;"_1",管理者用人口入力シート!CO:DL,Q184,FALSE),0)</f>
        <v>12</v>
      </c>
      <c r="P184" s="17">
        <f>ROUND(VLOOKUP(O$163&amp;"_2",管理者用人口入力シート!CO:DL,Q184,FALSE),0)</f>
        <v>29</v>
      </c>
      <c r="Q184" s="2">
        <v>23</v>
      </c>
    </row>
    <row r="185" spans="7:17" x14ac:dyDescent="0.15">
      <c r="G185" s="2" t="s">
        <v>20</v>
      </c>
      <c r="H185" s="17">
        <f>ROUND(VLOOKUP(H$163&amp;"_1",管理者用人口入力シート!BH:CE,J185,FALSE),0)</f>
        <v>0</v>
      </c>
      <c r="I185" s="17">
        <f>ROUND(VLOOKUP(H$163&amp;"_2",管理者用人口入力シート!BH:CE,J185,FALSE),0)</f>
        <v>6</v>
      </c>
      <c r="J185" s="2">
        <v>24</v>
      </c>
      <c r="N185" s="2" t="s">
        <v>20</v>
      </c>
      <c r="O185" s="17">
        <f>ROUND(VLOOKUP(O$163&amp;"_1",管理者用人口入力シート!CO:DL,Q185,FALSE),0)</f>
        <v>0</v>
      </c>
      <c r="P185" s="17">
        <f>ROUND(VLOOKUP(O$163&amp;"_2",管理者用人口入力シート!CO:DL,Q185,FALSE),0)</f>
        <v>6</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7</v>
      </c>
      <c r="I189" s="17">
        <f>ROUND(VLOOKUP(H$187&amp;"_2",管理者用人口入力シート!BH:CE,J189,FALSE),0)</f>
        <v>8</v>
      </c>
      <c r="J189" s="2">
        <v>4</v>
      </c>
      <c r="N189" s="2" t="s">
        <v>0</v>
      </c>
      <c r="O189" s="17">
        <f>ROUND(VLOOKUP(O$187&amp;"_1",管理者用人口入力シート!CO:DL,Q189,FALSE),0)</f>
        <v>9</v>
      </c>
      <c r="P189" s="17">
        <f>ROUND(VLOOKUP(O$187&amp;"_2",管理者用人口入力シート!CO:DL,Q189,FALSE),0)</f>
        <v>11</v>
      </c>
      <c r="Q189" s="2">
        <v>4</v>
      </c>
    </row>
    <row r="190" spans="7:17" x14ac:dyDescent="0.15">
      <c r="G190" s="2" t="s">
        <v>1</v>
      </c>
      <c r="H190" s="17">
        <f>ROUND(VLOOKUP(H$187&amp;"_1",管理者用人口入力シート!BH:CE,J190,FALSE),0)</f>
        <v>9</v>
      </c>
      <c r="I190" s="17">
        <f>ROUND(VLOOKUP(H$187&amp;"_2",管理者用人口入力シート!BH:CE,J190,FALSE),0)</f>
        <v>12</v>
      </c>
      <c r="J190" s="2">
        <v>5</v>
      </c>
      <c r="N190" s="2" t="s">
        <v>1</v>
      </c>
      <c r="O190" s="17">
        <f>ROUND(VLOOKUP(O$187&amp;"_1",管理者用人口入力シート!CO:DL,Q190,FALSE),0)</f>
        <v>11</v>
      </c>
      <c r="P190" s="17">
        <f>ROUND(VLOOKUP(O$187&amp;"_2",管理者用人口入力シート!CO:DL,Q190,FALSE),0)</f>
        <v>14</v>
      </c>
      <c r="Q190" s="2">
        <v>5</v>
      </c>
    </row>
    <row r="191" spans="7:17" x14ac:dyDescent="0.15">
      <c r="G191" s="2" t="s">
        <v>2</v>
      </c>
      <c r="H191" s="17">
        <f>ROUND(VLOOKUP(H$187&amp;"_1",管理者用人口入力シート!BH:CE,J191,FALSE),0)</f>
        <v>11</v>
      </c>
      <c r="I191" s="17">
        <f>ROUND(VLOOKUP(H$187&amp;"_2",管理者用人口入力シート!BH:CE,J191,FALSE),0)</f>
        <v>13</v>
      </c>
      <c r="J191" s="2">
        <v>6</v>
      </c>
      <c r="N191" s="2" t="s">
        <v>2</v>
      </c>
      <c r="O191" s="17">
        <f>ROUND(VLOOKUP(O$187&amp;"_1",管理者用人口入力シート!CO:DL,Q191,FALSE),0)</f>
        <v>14</v>
      </c>
      <c r="P191" s="17">
        <f>ROUND(VLOOKUP(O$187&amp;"_2",管理者用人口入力シート!CO:DL,Q191,FALSE),0)</f>
        <v>16</v>
      </c>
      <c r="Q191" s="2">
        <v>6</v>
      </c>
    </row>
    <row r="192" spans="7:17" x14ac:dyDescent="0.15">
      <c r="G192" s="2" t="s">
        <v>3</v>
      </c>
      <c r="H192" s="17">
        <f>ROUND(VLOOKUP(H$187&amp;"_1",管理者用人口入力シート!BH:CE,J192,FALSE),0)</f>
        <v>11</v>
      </c>
      <c r="I192" s="17">
        <f>ROUND(VLOOKUP(H$187&amp;"_2",管理者用人口入力シート!BH:CE,J192,FALSE),0)</f>
        <v>12</v>
      </c>
      <c r="J192" s="2">
        <v>7</v>
      </c>
      <c r="N192" s="2" t="s">
        <v>3</v>
      </c>
      <c r="O192" s="17">
        <f>ROUND(VLOOKUP(O$187&amp;"_1",管理者用人口入力シート!CO:DL,Q192,FALSE),0)</f>
        <v>13</v>
      </c>
      <c r="P192" s="17">
        <f>ROUND(VLOOKUP(O$187&amp;"_2",管理者用人口入力シート!CO:DL,Q192,FALSE),0)</f>
        <v>14</v>
      </c>
      <c r="Q192" s="2">
        <v>7</v>
      </c>
    </row>
    <row r="193" spans="7:17" x14ac:dyDescent="0.15">
      <c r="G193" s="2" t="s">
        <v>4</v>
      </c>
      <c r="H193" s="17">
        <f>ROUND(VLOOKUP(H$187&amp;"_1",管理者用人口入力シート!BH:CE,J193,FALSE),0)</f>
        <v>8</v>
      </c>
      <c r="I193" s="17">
        <f>ROUND(VLOOKUP(H$187&amp;"_2",管理者用人口入力シート!BH:CE,J193,FALSE),0)</f>
        <v>9</v>
      </c>
      <c r="J193" s="2">
        <v>8</v>
      </c>
      <c r="N193" s="2" t="s">
        <v>4</v>
      </c>
      <c r="O193" s="17">
        <f>ROUND(VLOOKUP(O$187&amp;"_1",管理者用人口入力シート!CO:DL,Q193,FALSE),0)</f>
        <v>9</v>
      </c>
      <c r="P193" s="17">
        <f>ROUND(VLOOKUP(O$187&amp;"_2",管理者用人口入力シート!CO:DL,Q193,FALSE),0)</f>
        <v>10</v>
      </c>
      <c r="Q193" s="2">
        <v>8</v>
      </c>
    </row>
    <row r="194" spans="7:17" x14ac:dyDescent="0.15">
      <c r="G194" s="2" t="s">
        <v>5</v>
      </c>
      <c r="H194" s="17">
        <f>ROUND(VLOOKUP(H$187&amp;"_1",管理者用人口入力シート!BH:CE,J194,FALSE),0)</f>
        <v>8</v>
      </c>
      <c r="I194" s="17">
        <f>ROUND(VLOOKUP(H$187&amp;"_2",管理者用人口入力シート!BH:CE,J194,FALSE),0)</f>
        <v>10</v>
      </c>
      <c r="J194" s="2">
        <v>9</v>
      </c>
      <c r="N194" s="2" t="s">
        <v>5</v>
      </c>
      <c r="O194" s="17">
        <f>ROUND(VLOOKUP(O$187&amp;"_1",管理者用人口入力シート!CO:DL,Q194,FALSE),0)</f>
        <v>11</v>
      </c>
      <c r="P194" s="17">
        <f>ROUND(VLOOKUP(O$187&amp;"_2",管理者用人口入力シート!CO:DL,Q194,FALSE),0)</f>
        <v>13</v>
      </c>
      <c r="Q194" s="2">
        <v>9</v>
      </c>
    </row>
    <row r="195" spans="7:17" x14ac:dyDescent="0.15">
      <c r="G195" s="2" t="s">
        <v>6</v>
      </c>
      <c r="H195" s="17">
        <f>ROUND(VLOOKUP(H$187&amp;"_1",管理者用人口入力シート!BH:CE,J195,FALSE),0)</f>
        <v>10</v>
      </c>
      <c r="I195" s="17">
        <f>ROUND(VLOOKUP(H$187&amp;"_2",管理者用人口入力シート!BH:CE,J195,FALSE),0)</f>
        <v>13</v>
      </c>
      <c r="J195" s="2">
        <v>10</v>
      </c>
      <c r="N195" s="2" t="s">
        <v>6</v>
      </c>
      <c r="O195" s="17">
        <f>ROUND(VLOOKUP(O$187&amp;"_1",管理者用人口入力シート!CO:DL,Q195,FALSE),0)</f>
        <v>12</v>
      </c>
      <c r="P195" s="17">
        <f>ROUND(VLOOKUP(O$187&amp;"_2",管理者用人口入力シート!CO:DL,Q195,FALSE),0)</f>
        <v>15</v>
      </c>
      <c r="Q195" s="2">
        <v>10</v>
      </c>
    </row>
    <row r="196" spans="7:17" x14ac:dyDescent="0.15">
      <c r="G196" s="2" t="s">
        <v>7</v>
      </c>
      <c r="H196" s="17">
        <f>ROUND(VLOOKUP(H$187&amp;"_1",管理者用人口入力シート!BH:CE,J196,FALSE),0)</f>
        <v>15</v>
      </c>
      <c r="I196" s="17">
        <f>ROUND(VLOOKUP(H$187&amp;"_2",管理者用人口入力シート!BH:CE,J196,FALSE),0)</f>
        <v>12</v>
      </c>
      <c r="J196" s="2">
        <v>11</v>
      </c>
      <c r="N196" s="2" t="s">
        <v>7</v>
      </c>
      <c r="O196" s="17">
        <f>ROUND(VLOOKUP(O$187&amp;"_1",管理者用人口入力シート!CO:DL,Q196,FALSE),0)</f>
        <v>17</v>
      </c>
      <c r="P196" s="17">
        <f>ROUND(VLOOKUP(O$187&amp;"_2",管理者用人口入力シート!CO:DL,Q196,FALSE),0)</f>
        <v>13</v>
      </c>
      <c r="Q196" s="2">
        <v>11</v>
      </c>
    </row>
    <row r="197" spans="7:17" x14ac:dyDescent="0.15">
      <c r="G197" s="2" t="s">
        <v>8</v>
      </c>
      <c r="H197" s="17">
        <f>ROUND(VLOOKUP(H$187&amp;"_1",管理者用人口入力シート!BH:CE,J197,FALSE),0)</f>
        <v>18</v>
      </c>
      <c r="I197" s="17">
        <f>ROUND(VLOOKUP(H$187&amp;"_2",管理者用人口入力シート!BH:CE,J197,FALSE),0)</f>
        <v>14</v>
      </c>
      <c r="J197" s="2">
        <v>12</v>
      </c>
      <c r="N197" s="2" t="s">
        <v>8</v>
      </c>
      <c r="O197" s="17">
        <f>ROUND(VLOOKUP(O$187&amp;"_1",管理者用人口入力シート!CO:DL,Q197,FALSE),0)</f>
        <v>20</v>
      </c>
      <c r="P197" s="17">
        <f>ROUND(VLOOKUP(O$187&amp;"_2",管理者用人口入力シート!CO:DL,Q197,FALSE),0)</f>
        <v>16</v>
      </c>
      <c r="Q197" s="2">
        <v>12</v>
      </c>
    </row>
    <row r="198" spans="7:17" x14ac:dyDescent="0.15">
      <c r="G198" s="2" t="s">
        <v>9</v>
      </c>
      <c r="H198" s="17">
        <f>ROUND(VLOOKUP(H$187&amp;"_1",管理者用人口入力シート!BH:CE,J198,FALSE),0)</f>
        <v>23</v>
      </c>
      <c r="I198" s="17">
        <f>ROUND(VLOOKUP(H$187&amp;"_2",管理者用人口入力シート!BH:CE,J198,FALSE),0)</f>
        <v>16</v>
      </c>
      <c r="J198" s="2">
        <v>13</v>
      </c>
      <c r="N198" s="2" t="s">
        <v>9</v>
      </c>
      <c r="O198" s="17">
        <f>ROUND(VLOOKUP(O$187&amp;"_1",管理者用人口入力シート!CO:DL,Q198,FALSE),0)</f>
        <v>24</v>
      </c>
      <c r="P198" s="17">
        <f>ROUND(VLOOKUP(O$187&amp;"_2",管理者用人口入力シート!CO:DL,Q198,FALSE),0)</f>
        <v>18</v>
      </c>
      <c r="Q198" s="2">
        <v>13</v>
      </c>
    </row>
    <row r="199" spans="7:17" x14ac:dyDescent="0.15">
      <c r="G199" s="2" t="s">
        <v>10</v>
      </c>
      <c r="H199" s="17">
        <f>ROUND(VLOOKUP(H$187&amp;"_1",管理者用人口入力シート!BH:CE,J199,FALSE),0)</f>
        <v>16</v>
      </c>
      <c r="I199" s="17">
        <f>ROUND(VLOOKUP(H$187&amp;"_2",管理者用人口入力シート!BH:CE,J199,FALSE),0)</f>
        <v>19</v>
      </c>
      <c r="J199" s="2">
        <v>14</v>
      </c>
      <c r="N199" s="2" t="s">
        <v>10</v>
      </c>
      <c r="O199" s="17">
        <f>ROUND(VLOOKUP(O$187&amp;"_1",管理者用人口入力シート!CO:DL,Q199,FALSE),0)</f>
        <v>18</v>
      </c>
      <c r="P199" s="17">
        <f>ROUND(VLOOKUP(O$187&amp;"_2",管理者用人口入力シート!CO:DL,Q199,FALSE),0)</f>
        <v>22</v>
      </c>
      <c r="Q199" s="2">
        <v>14</v>
      </c>
    </row>
    <row r="200" spans="7:17" x14ac:dyDescent="0.15">
      <c r="G200" s="2" t="s">
        <v>11</v>
      </c>
      <c r="H200" s="17">
        <f>ROUND(VLOOKUP(H$187&amp;"_1",管理者用人口入力シート!BH:CE,J200,FALSE),0)</f>
        <v>25</v>
      </c>
      <c r="I200" s="17">
        <f>ROUND(VLOOKUP(H$187&amp;"_2",管理者用人口入力シート!BH:CE,J200,FALSE),0)</f>
        <v>24</v>
      </c>
      <c r="J200" s="2">
        <v>15</v>
      </c>
      <c r="N200" s="2" t="s">
        <v>11</v>
      </c>
      <c r="O200" s="17">
        <f>ROUND(VLOOKUP(O$187&amp;"_1",管理者用人口入力シート!CO:DL,Q200,FALSE),0)</f>
        <v>25</v>
      </c>
      <c r="P200" s="17">
        <f>ROUND(VLOOKUP(O$187&amp;"_2",管理者用人口入力シート!CO:DL,Q200,FALSE),0)</f>
        <v>25</v>
      </c>
      <c r="Q200" s="2">
        <v>15</v>
      </c>
    </row>
    <row r="201" spans="7:17" x14ac:dyDescent="0.15">
      <c r="G201" s="2" t="s">
        <v>12</v>
      </c>
      <c r="H201" s="17">
        <f>ROUND(VLOOKUP(H$187&amp;"_1",管理者用人口入力シート!BH:CE,J201,FALSE),0)</f>
        <v>48</v>
      </c>
      <c r="I201" s="17">
        <f>ROUND(VLOOKUP(H$187&amp;"_2",管理者用人口入力シート!BH:CE,J201,FALSE),0)</f>
        <v>53</v>
      </c>
      <c r="J201" s="2">
        <v>16</v>
      </c>
      <c r="N201" s="2" t="s">
        <v>12</v>
      </c>
      <c r="O201" s="17">
        <f>ROUND(VLOOKUP(O$187&amp;"_1",管理者用人口入力シート!CO:DL,Q201,FALSE),0)</f>
        <v>48</v>
      </c>
      <c r="P201" s="17">
        <f>ROUND(VLOOKUP(O$187&amp;"_2",管理者用人口入力シート!CO:DL,Q201,FALSE),0)</f>
        <v>54</v>
      </c>
      <c r="Q201" s="2">
        <v>16</v>
      </c>
    </row>
    <row r="202" spans="7:17" x14ac:dyDescent="0.15">
      <c r="G202" s="2" t="s">
        <v>13</v>
      </c>
      <c r="H202" s="17">
        <f>ROUND(VLOOKUP(H$187&amp;"_1",管理者用人口入力シート!BH:CE,J202,FALSE),0)</f>
        <v>59</v>
      </c>
      <c r="I202" s="17">
        <f>ROUND(VLOOKUP(H$187&amp;"_2",管理者用人口入力シート!BH:CE,J202,FALSE),0)</f>
        <v>65</v>
      </c>
      <c r="J202" s="2">
        <v>17</v>
      </c>
      <c r="N202" s="2" t="s">
        <v>13</v>
      </c>
      <c r="O202" s="17">
        <f>ROUND(VLOOKUP(O$187&amp;"_1",管理者用人口入力シート!CO:DL,Q202,FALSE),0)</f>
        <v>59</v>
      </c>
      <c r="P202" s="17">
        <f>ROUND(VLOOKUP(O$187&amp;"_2",管理者用人口入力シート!CO:DL,Q202,FALSE),0)</f>
        <v>65</v>
      </c>
      <c r="Q202" s="2">
        <v>17</v>
      </c>
    </row>
    <row r="203" spans="7:17" x14ac:dyDescent="0.15">
      <c r="G203" s="2" t="s">
        <v>14</v>
      </c>
      <c r="H203" s="17">
        <f>ROUND(VLOOKUP(H$187&amp;"_1",管理者用人口入力シート!BH:CE,J203,FALSE),0)</f>
        <v>68</v>
      </c>
      <c r="I203" s="17">
        <f>ROUND(VLOOKUP(H$187&amp;"_2",管理者用人口入力シート!BH:CE,J203,FALSE),0)</f>
        <v>70</v>
      </c>
      <c r="J203" s="2">
        <v>18</v>
      </c>
      <c r="N203" s="2" t="s">
        <v>14</v>
      </c>
      <c r="O203" s="17">
        <f>ROUND(VLOOKUP(O$187&amp;"_1",管理者用人口入力シート!CO:DL,Q203,FALSE),0)</f>
        <v>68</v>
      </c>
      <c r="P203" s="17">
        <f>ROUND(VLOOKUP(O$187&amp;"_2",管理者用人口入力シート!CO:DL,Q203,FALSE),0)</f>
        <v>70</v>
      </c>
      <c r="Q203" s="2">
        <v>18</v>
      </c>
    </row>
    <row r="204" spans="7:17" x14ac:dyDescent="0.15">
      <c r="G204" s="2" t="s">
        <v>15</v>
      </c>
      <c r="H204" s="17">
        <f>ROUND(VLOOKUP(H$187&amp;"_1",管理者用人口入力シート!BH:CE,J204,FALSE),0)</f>
        <v>69</v>
      </c>
      <c r="I204" s="17">
        <f>ROUND(VLOOKUP(H$187&amp;"_2",管理者用人口入力シート!BH:CE,J204,FALSE),0)</f>
        <v>74</v>
      </c>
      <c r="J204" s="2">
        <v>19</v>
      </c>
      <c r="N204" s="2" t="s">
        <v>15</v>
      </c>
      <c r="O204" s="17">
        <f>ROUND(VLOOKUP(O$187&amp;"_1",管理者用人口入力シート!CO:DL,Q204,FALSE),0)</f>
        <v>69</v>
      </c>
      <c r="P204" s="17">
        <f>ROUND(VLOOKUP(O$187&amp;"_2",管理者用人口入力シート!CO:DL,Q204,FALSE),0)</f>
        <v>74</v>
      </c>
      <c r="Q204" s="2">
        <v>19</v>
      </c>
    </row>
    <row r="205" spans="7:17" x14ac:dyDescent="0.15">
      <c r="G205" s="2" t="s">
        <v>16</v>
      </c>
      <c r="H205" s="17">
        <f>ROUND(VLOOKUP(H$187&amp;"_1",管理者用人口入力シート!BH:CE,J205,FALSE),0)</f>
        <v>41</v>
      </c>
      <c r="I205" s="17">
        <f>ROUND(VLOOKUP(H$187&amp;"_2",管理者用人口入力シート!BH:CE,J205,FALSE),0)</f>
        <v>58</v>
      </c>
      <c r="J205" s="2">
        <v>20</v>
      </c>
      <c r="N205" s="2" t="s">
        <v>16</v>
      </c>
      <c r="O205" s="17">
        <f>ROUND(VLOOKUP(O$187&amp;"_1",管理者用人口入力シート!CO:DL,Q205,FALSE),0)</f>
        <v>41</v>
      </c>
      <c r="P205" s="17">
        <f>ROUND(VLOOKUP(O$187&amp;"_2",管理者用人口入力シート!CO:DL,Q205,FALSE),0)</f>
        <v>58</v>
      </c>
      <c r="Q205" s="2">
        <v>20</v>
      </c>
    </row>
    <row r="206" spans="7:17" x14ac:dyDescent="0.15">
      <c r="G206" s="2" t="s">
        <v>17</v>
      </c>
      <c r="H206" s="17">
        <f>ROUND(VLOOKUP(H$187&amp;"_1",管理者用人口入力シート!BH:CE,J206,FALSE),0)</f>
        <v>34</v>
      </c>
      <c r="I206" s="17">
        <f>ROUND(VLOOKUP(H$187&amp;"_2",管理者用人口入力シート!BH:CE,J206,FALSE),0)</f>
        <v>65</v>
      </c>
      <c r="J206" s="2">
        <v>21</v>
      </c>
      <c r="N206" s="2" t="s">
        <v>17</v>
      </c>
      <c r="O206" s="17">
        <f>ROUND(VLOOKUP(O$187&amp;"_1",管理者用人口入力シート!CO:DL,Q206,FALSE),0)</f>
        <v>34</v>
      </c>
      <c r="P206" s="17">
        <f>ROUND(VLOOKUP(O$187&amp;"_2",管理者用人口入力シート!CO:DL,Q206,FALSE),0)</f>
        <v>65</v>
      </c>
      <c r="Q206" s="2">
        <v>21</v>
      </c>
    </row>
    <row r="207" spans="7:17" x14ac:dyDescent="0.15">
      <c r="G207" s="2" t="s">
        <v>18</v>
      </c>
      <c r="H207" s="17">
        <f>ROUND(VLOOKUP(H$187&amp;"_1",管理者用人口入力シート!BH:CE,J207,FALSE),0)</f>
        <v>22</v>
      </c>
      <c r="I207" s="17">
        <f>ROUND(VLOOKUP(H$187&amp;"_2",管理者用人口入力シート!BH:CE,J207,FALSE),0)</f>
        <v>57</v>
      </c>
      <c r="J207" s="2">
        <v>22</v>
      </c>
      <c r="N207" s="2" t="s">
        <v>18</v>
      </c>
      <c r="O207" s="17">
        <f>ROUND(VLOOKUP(O$187&amp;"_1",管理者用人口入力シート!CO:DL,Q207,FALSE),0)</f>
        <v>22</v>
      </c>
      <c r="P207" s="17">
        <f>ROUND(VLOOKUP(O$187&amp;"_2",管理者用人口入力シート!CO:DL,Q207,FALSE),0)</f>
        <v>57</v>
      </c>
      <c r="Q207" s="2">
        <v>22</v>
      </c>
    </row>
    <row r="208" spans="7:17" x14ac:dyDescent="0.15">
      <c r="G208" s="2" t="s">
        <v>19</v>
      </c>
      <c r="H208" s="17">
        <f>ROUND(VLOOKUP(H$187&amp;"_1",管理者用人口入力シート!BH:CE,J208,FALSE),0)</f>
        <v>12</v>
      </c>
      <c r="I208" s="17">
        <f>ROUND(VLOOKUP(H$187&amp;"_2",管理者用人口入力シート!BH:CE,J208,FALSE),0)</f>
        <v>28</v>
      </c>
      <c r="J208" s="2">
        <v>23</v>
      </c>
      <c r="N208" s="2" t="s">
        <v>19</v>
      </c>
      <c r="O208" s="17">
        <f>ROUND(VLOOKUP(O$187&amp;"_1",管理者用人口入力シート!CO:DL,Q208,FALSE),0)</f>
        <v>12</v>
      </c>
      <c r="P208" s="17">
        <f>ROUND(VLOOKUP(O$187&amp;"_2",管理者用人口入力シート!CO:DL,Q208,FALSE),0)</f>
        <v>28</v>
      </c>
      <c r="Q208" s="2">
        <v>23</v>
      </c>
    </row>
    <row r="209" spans="7:17" x14ac:dyDescent="0.15">
      <c r="G209" s="2" t="s">
        <v>20</v>
      </c>
      <c r="H209" s="17">
        <f>ROUND(VLOOKUP(H$187&amp;"_1",管理者用人口入力シート!BH:CE,J209,FALSE),0)</f>
        <v>0</v>
      </c>
      <c r="I209" s="17">
        <f>ROUND(VLOOKUP(H$187&amp;"_2",管理者用人口入力シート!BH:CE,J209,FALSE),0)</f>
        <v>8</v>
      </c>
      <c r="J209" s="2">
        <v>24</v>
      </c>
      <c r="N209" s="2" t="s">
        <v>20</v>
      </c>
      <c r="O209" s="17">
        <f>ROUND(VLOOKUP(O$187&amp;"_1",管理者用人口入力シート!CO:DL,Q209,FALSE),0)</f>
        <v>0</v>
      </c>
      <c r="P209" s="17">
        <f>ROUND(VLOOKUP(O$187&amp;"_2",管理者用人口入力シート!CO:DL,Q209,FALSE),0)</f>
        <v>8</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32</v>
      </c>
      <c r="P214" s="17">
        <f>O93+P93</f>
        <v>36</v>
      </c>
      <c r="Q214" s="2">
        <v>4</v>
      </c>
    </row>
    <row r="215" spans="7:17" x14ac:dyDescent="0.15">
      <c r="N215" s="2" t="s">
        <v>1</v>
      </c>
      <c r="O215" s="17">
        <f t="shared" ref="O215:O233" si="37">H94+I94</f>
        <v>51</v>
      </c>
      <c r="P215" s="17">
        <f t="shared" ref="P215:P233" si="38">O94+P94</f>
        <v>53</v>
      </c>
      <c r="Q215" s="2">
        <v>5</v>
      </c>
    </row>
    <row r="216" spans="7:17" x14ac:dyDescent="0.15">
      <c r="N216" s="2" t="s">
        <v>2</v>
      </c>
      <c r="O216" s="17">
        <f t="shared" si="37"/>
        <v>71</v>
      </c>
      <c r="P216" s="17">
        <f t="shared" si="38"/>
        <v>73</v>
      </c>
      <c r="Q216" s="2">
        <v>6</v>
      </c>
    </row>
    <row r="217" spans="7:17" x14ac:dyDescent="0.15">
      <c r="N217" s="2" t="s">
        <v>3</v>
      </c>
      <c r="O217" s="17">
        <f t="shared" si="37"/>
        <v>73</v>
      </c>
      <c r="P217" s="17">
        <f t="shared" si="38"/>
        <v>75</v>
      </c>
      <c r="Q217" s="2">
        <v>7</v>
      </c>
    </row>
    <row r="218" spans="7:17" x14ac:dyDescent="0.15">
      <c r="N218" s="2" t="s">
        <v>4</v>
      </c>
      <c r="O218" s="17">
        <f t="shared" si="37"/>
        <v>54</v>
      </c>
      <c r="P218" s="17">
        <f t="shared" si="38"/>
        <v>54</v>
      </c>
      <c r="Q218" s="2">
        <v>8</v>
      </c>
    </row>
    <row r="219" spans="7:17" x14ac:dyDescent="0.15">
      <c r="N219" s="2" t="s">
        <v>5</v>
      </c>
      <c r="O219" s="17">
        <f t="shared" si="37"/>
        <v>51</v>
      </c>
      <c r="P219" s="17">
        <f t="shared" si="38"/>
        <v>55</v>
      </c>
      <c r="Q219" s="2">
        <v>9</v>
      </c>
    </row>
    <row r="220" spans="7:17" x14ac:dyDescent="0.15">
      <c r="N220" s="2" t="s">
        <v>6</v>
      </c>
      <c r="O220" s="17">
        <f t="shared" si="37"/>
        <v>40</v>
      </c>
      <c r="P220" s="17">
        <f t="shared" si="38"/>
        <v>43</v>
      </c>
      <c r="Q220" s="2">
        <v>10</v>
      </c>
    </row>
    <row r="221" spans="7:17" x14ac:dyDescent="0.15">
      <c r="N221" s="2" t="s">
        <v>7</v>
      </c>
      <c r="O221" s="17">
        <f t="shared" si="37"/>
        <v>50</v>
      </c>
      <c r="P221" s="17">
        <f t="shared" si="38"/>
        <v>50</v>
      </c>
      <c r="Q221" s="2">
        <v>11</v>
      </c>
    </row>
    <row r="222" spans="7:17" x14ac:dyDescent="0.15">
      <c r="N222" s="2" t="s">
        <v>8</v>
      </c>
      <c r="O222" s="17">
        <f t="shared" si="37"/>
        <v>103</v>
      </c>
      <c r="P222" s="17">
        <f t="shared" si="38"/>
        <v>104</v>
      </c>
      <c r="Q222" s="2">
        <v>12</v>
      </c>
    </row>
    <row r="223" spans="7:17" x14ac:dyDescent="0.15">
      <c r="N223" s="2" t="s">
        <v>9</v>
      </c>
      <c r="O223" s="17">
        <f t="shared" si="37"/>
        <v>127</v>
      </c>
      <c r="P223" s="17">
        <f t="shared" si="38"/>
        <v>128</v>
      </c>
      <c r="Q223" s="2">
        <v>13</v>
      </c>
    </row>
    <row r="224" spans="7:17" x14ac:dyDescent="0.15">
      <c r="N224" s="2" t="s">
        <v>10</v>
      </c>
      <c r="O224" s="17">
        <f t="shared" si="37"/>
        <v>154</v>
      </c>
      <c r="P224" s="17">
        <f t="shared" si="38"/>
        <v>154</v>
      </c>
      <c r="Q224" s="2">
        <v>14</v>
      </c>
    </row>
    <row r="225" spans="14:17" x14ac:dyDescent="0.15">
      <c r="N225" s="2" t="s">
        <v>11</v>
      </c>
      <c r="O225" s="17">
        <f t="shared" si="37"/>
        <v>180</v>
      </c>
      <c r="P225" s="17">
        <f t="shared" si="38"/>
        <v>180</v>
      </c>
      <c r="Q225" s="2">
        <v>15</v>
      </c>
    </row>
    <row r="226" spans="14:17" x14ac:dyDescent="0.15">
      <c r="N226" s="2" t="s">
        <v>12</v>
      </c>
      <c r="O226" s="17">
        <f t="shared" si="37"/>
        <v>147</v>
      </c>
      <c r="P226" s="17">
        <f t="shared" si="38"/>
        <v>147</v>
      </c>
      <c r="Q226" s="2">
        <v>16</v>
      </c>
    </row>
    <row r="227" spans="14:17" x14ac:dyDescent="0.15">
      <c r="N227" s="2" t="s">
        <v>13</v>
      </c>
      <c r="O227" s="17">
        <f t="shared" si="37"/>
        <v>193</v>
      </c>
      <c r="P227" s="17">
        <f t="shared" si="38"/>
        <v>193</v>
      </c>
      <c r="Q227" s="2">
        <v>17</v>
      </c>
    </row>
    <row r="228" spans="14:17" x14ac:dyDescent="0.15">
      <c r="N228" s="2" t="s">
        <v>14</v>
      </c>
      <c r="O228" s="17">
        <f t="shared" si="37"/>
        <v>268</v>
      </c>
      <c r="P228" s="17">
        <f t="shared" si="38"/>
        <v>268</v>
      </c>
      <c r="Q228" s="2">
        <v>18</v>
      </c>
    </row>
    <row r="229" spans="14:17" x14ac:dyDescent="0.15">
      <c r="N229" s="2" t="s">
        <v>15</v>
      </c>
      <c r="O229" s="17">
        <f t="shared" si="37"/>
        <v>314</v>
      </c>
      <c r="P229" s="17">
        <f t="shared" si="38"/>
        <v>314</v>
      </c>
      <c r="Q229" s="2">
        <v>19</v>
      </c>
    </row>
    <row r="230" spans="14:17" x14ac:dyDescent="0.15">
      <c r="N230" s="2" t="s">
        <v>16</v>
      </c>
      <c r="O230" s="17">
        <f t="shared" si="37"/>
        <v>264</v>
      </c>
      <c r="P230" s="17">
        <f t="shared" si="38"/>
        <v>264</v>
      </c>
      <c r="Q230" s="2">
        <v>20</v>
      </c>
    </row>
    <row r="231" spans="14:17" x14ac:dyDescent="0.15">
      <c r="N231" s="2" t="s">
        <v>17</v>
      </c>
      <c r="O231" s="17">
        <f t="shared" si="37"/>
        <v>153</v>
      </c>
      <c r="P231" s="17">
        <f t="shared" si="38"/>
        <v>153</v>
      </c>
      <c r="Q231" s="2">
        <v>21</v>
      </c>
    </row>
    <row r="232" spans="14:17" x14ac:dyDescent="0.15">
      <c r="N232" s="2" t="s">
        <v>18</v>
      </c>
      <c r="O232" s="17">
        <f t="shared" si="37"/>
        <v>81</v>
      </c>
      <c r="P232" s="17">
        <f t="shared" si="38"/>
        <v>81</v>
      </c>
      <c r="Q232" s="2">
        <v>22</v>
      </c>
    </row>
    <row r="233" spans="14:17" x14ac:dyDescent="0.15">
      <c r="N233" s="2" t="s">
        <v>19</v>
      </c>
      <c r="O233" s="17">
        <f t="shared" si="37"/>
        <v>39</v>
      </c>
      <c r="P233" s="17">
        <f t="shared" si="38"/>
        <v>39</v>
      </c>
      <c r="Q233" s="2">
        <v>23</v>
      </c>
    </row>
    <row r="234" spans="14:17" x14ac:dyDescent="0.15">
      <c r="N234" s="2" t="s">
        <v>20</v>
      </c>
      <c r="O234" s="17">
        <f>H113+I113</f>
        <v>8</v>
      </c>
      <c r="P234" s="17">
        <f>O113+P113</f>
        <v>8</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23</v>
      </c>
      <c r="P238" s="17">
        <f>O141+P141</f>
        <v>27</v>
      </c>
      <c r="Q238" s="2">
        <v>4</v>
      </c>
    </row>
    <row r="239" spans="14:17" x14ac:dyDescent="0.15">
      <c r="N239" s="2" t="s">
        <v>1</v>
      </c>
      <c r="O239" s="17">
        <f t="shared" ref="O239:O257" si="39">H142+I142</f>
        <v>28</v>
      </c>
      <c r="P239" s="17">
        <f t="shared" ref="P239:P257" si="40">O142+P142</f>
        <v>33</v>
      </c>
      <c r="Q239" s="2">
        <v>5</v>
      </c>
    </row>
    <row r="240" spans="14:17" x14ac:dyDescent="0.15">
      <c r="N240" s="2" t="s">
        <v>2</v>
      </c>
      <c r="O240" s="17">
        <f t="shared" si="39"/>
        <v>34</v>
      </c>
      <c r="P240" s="17">
        <f t="shared" si="40"/>
        <v>38</v>
      </c>
      <c r="Q240" s="2">
        <v>6</v>
      </c>
    </row>
    <row r="241" spans="14:17" x14ac:dyDescent="0.15">
      <c r="N241" s="2" t="s">
        <v>3</v>
      </c>
      <c r="O241" s="17">
        <f t="shared" si="39"/>
        <v>40</v>
      </c>
      <c r="P241" s="17">
        <f t="shared" si="40"/>
        <v>43</v>
      </c>
      <c r="Q241" s="2">
        <v>7</v>
      </c>
    </row>
    <row r="242" spans="14:17" x14ac:dyDescent="0.15">
      <c r="N242" s="2" t="s">
        <v>4</v>
      </c>
      <c r="O242" s="17">
        <f t="shared" si="39"/>
        <v>35</v>
      </c>
      <c r="P242" s="17">
        <f t="shared" si="40"/>
        <v>36</v>
      </c>
      <c r="Q242" s="2">
        <v>8</v>
      </c>
    </row>
    <row r="243" spans="14:17" x14ac:dyDescent="0.15">
      <c r="N243" s="2" t="s">
        <v>5</v>
      </c>
      <c r="O243" s="17">
        <f t="shared" si="39"/>
        <v>33</v>
      </c>
      <c r="P243" s="17">
        <f t="shared" si="40"/>
        <v>38</v>
      </c>
      <c r="Q243" s="2">
        <v>9</v>
      </c>
    </row>
    <row r="244" spans="14:17" x14ac:dyDescent="0.15">
      <c r="N244" s="2" t="s">
        <v>6</v>
      </c>
      <c r="O244" s="17">
        <f t="shared" si="39"/>
        <v>34</v>
      </c>
      <c r="P244" s="17">
        <f t="shared" si="40"/>
        <v>38</v>
      </c>
      <c r="Q244" s="2">
        <v>10</v>
      </c>
    </row>
    <row r="245" spans="14:17" x14ac:dyDescent="0.15">
      <c r="N245" s="2" t="s">
        <v>7</v>
      </c>
      <c r="O245" s="17">
        <f t="shared" si="39"/>
        <v>41</v>
      </c>
      <c r="P245" s="17">
        <f t="shared" si="40"/>
        <v>43</v>
      </c>
      <c r="Q245" s="2">
        <v>11</v>
      </c>
    </row>
    <row r="246" spans="14:17" x14ac:dyDescent="0.15">
      <c r="N246" s="2" t="s">
        <v>8</v>
      </c>
      <c r="O246" s="17">
        <f t="shared" si="39"/>
        <v>37</v>
      </c>
      <c r="P246" s="17">
        <f t="shared" si="40"/>
        <v>40</v>
      </c>
      <c r="Q246" s="2">
        <v>12</v>
      </c>
    </row>
    <row r="247" spans="14:17" x14ac:dyDescent="0.15">
      <c r="N247" s="2" t="s">
        <v>9</v>
      </c>
      <c r="O247" s="17">
        <f t="shared" si="39"/>
        <v>47</v>
      </c>
      <c r="P247" s="17">
        <f t="shared" si="40"/>
        <v>48</v>
      </c>
      <c r="Q247" s="2">
        <v>13</v>
      </c>
    </row>
    <row r="248" spans="14:17" x14ac:dyDescent="0.15">
      <c r="N248" s="2" t="s">
        <v>10</v>
      </c>
      <c r="O248" s="17">
        <f t="shared" si="39"/>
        <v>101</v>
      </c>
      <c r="P248" s="17">
        <f t="shared" si="40"/>
        <v>102</v>
      </c>
      <c r="Q248" s="2">
        <v>14</v>
      </c>
    </row>
    <row r="249" spans="14:17" x14ac:dyDescent="0.15">
      <c r="N249" s="2" t="s">
        <v>11</v>
      </c>
      <c r="O249" s="17">
        <f t="shared" si="39"/>
        <v>131</v>
      </c>
      <c r="P249" s="17">
        <f t="shared" si="40"/>
        <v>132</v>
      </c>
      <c r="Q249" s="2">
        <v>15</v>
      </c>
    </row>
    <row r="250" spans="14:17" x14ac:dyDescent="0.15">
      <c r="N250" s="2" t="s">
        <v>12</v>
      </c>
      <c r="O250" s="17">
        <f t="shared" si="39"/>
        <v>155</v>
      </c>
      <c r="P250" s="17">
        <f t="shared" si="40"/>
        <v>155</v>
      </c>
      <c r="Q250" s="2">
        <v>16</v>
      </c>
    </row>
    <row r="251" spans="14:17" x14ac:dyDescent="0.15">
      <c r="N251" s="2" t="s">
        <v>13</v>
      </c>
      <c r="O251" s="17">
        <f t="shared" si="39"/>
        <v>170</v>
      </c>
      <c r="P251" s="17">
        <f t="shared" si="40"/>
        <v>170</v>
      </c>
      <c r="Q251" s="2">
        <v>17</v>
      </c>
    </row>
    <row r="252" spans="14:17" x14ac:dyDescent="0.15">
      <c r="N252" s="2" t="s">
        <v>14</v>
      </c>
      <c r="O252" s="17">
        <f t="shared" si="39"/>
        <v>130</v>
      </c>
      <c r="P252" s="17">
        <f t="shared" si="40"/>
        <v>130</v>
      </c>
      <c r="Q252" s="2">
        <v>18</v>
      </c>
    </row>
    <row r="253" spans="14:17" x14ac:dyDescent="0.15">
      <c r="N253" s="2" t="s">
        <v>15</v>
      </c>
      <c r="O253" s="17">
        <f t="shared" si="39"/>
        <v>164</v>
      </c>
      <c r="P253" s="17">
        <f t="shared" si="40"/>
        <v>164</v>
      </c>
      <c r="Q253" s="2">
        <v>19</v>
      </c>
    </row>
    <row r="254" spans="14:17" x14ac:dyDescent="0.15">
      <c r="N254" s="2" t="s">
        <v>16</v>
      </c>
      <c r="O254" s="17">
        <f t="shared" si="39"/>
        <v>205</v>
      </c>
      <c r="P254" s="17">
        <f t="shared" si="40"/>
        <v>205</v>
      </c>
      <c r="Q254" s="2">
        <v>20</v>
      </c>
    </row>
    <row r="255" spans="14:17" x14ac:dyDescent="0.15">
      <c r="N255" s="2" t="s">
        <v>17</v>
      </c>
      <c r="O255" s="17">
        <f t="shared" si="39"/>
        <v>190</v>
      </c>
      <c r="P255" s="17">
        <f t="shared" si="40"/>
        <v>190</v>
      </c>
      <c r="Q255" s="2">
        <v>21</v>
      </c>
    </row>
    <row r="256" spans="14:17" x14ac:dyDescent="0.15">
      <c r="N256" s="2" t="s">
        <v>18</v>
      </c>
      <c r="O256" s="17">
        <f t="shared" si="39"/>
        <v>101</v>
      </c>
      <c r="P256" s="17">
        <f t="shared" si="40"/>
        <v>101</v>
      </c>
      <c r="Q256" s="2">
        <v>22</v>
      </c>
    </row>
    <row r="257" spans="14:17" x14ac:dyDescent="0.15">
      <c r="N257" s="2" t="s">
        <v>19</v>
      </c>
      <c r="O257" s="17">
        <f t="shared" si="39"/>
        <v>33</v>
      </c>
      <c r="P257" s="17">
        <f t="shared" si="40"/>
        <v>33</v>
      </c>
      <c r="Q257" s="2">
        <v>23</v>
      </c>
    </row>
    <row r="258" spans="14:17" x14ac:dyDescent="0.15">
      <c r="N258" s="2" t="s">
        <v>20</v>
      </c>
      <c r="O258" s="17">
        <f>H161+I161</f>
        <v>6</v>
      </c>
      <c r="P258" s="17">
        <f>O161+P161</f>
        <v>6</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2019-03-18T10:55:01Z</cp:lastPrinted>
  <dcterms:created xsi:type="dcterms:W3CDTF">2018-08-17T00:57:13Z</dcterms:created>
  <dcterms:modified xsi:type="dcterms:W3CDTF">2023-03-30T03:01:59Z</dcterms:modified>
</cp:coreProperties>
</file>