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3.xml" ContentType="application/vnd.openxmlformats-officedocument.drawingml.chartshapes+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4.xml" ContentType="application/vnd.openxmlformats-officedocument.drawingml.chartshapes+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5.xml" ContentType="application/vnd.openxmlformats-officedocument.drawingml.chartshapes+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drawings/drawing6.xml" ContentType="application/vnd.openxmlformats-officedocument.drawingml.chartshapes+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7.xml" ContentType="application/vnd.openxmlformats-officedocument.drawingml.chartshapes+xml"/>
  <Override PartName="/xl/drawings/drawing8.xml" ContentType="application/vnd.openxmlformats-officedocument.drawing+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drawings/drawing9.xml" ContentType="application/vnd.openxmlformats-officedocument.drawingml.chartshapes+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drawings/drawing10.xml" ContentType="application/vnd.openxmlformats-officedocument.drawingml.chartshapes+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charts/chart12.xml" ContentType="application/vnd.openxmlformats-officedocument.drawingml.chart+xml"/>
  <Override PartName="/xl/charts/style12.xml" ContentType="application/vnd.ms-office.chartstyle+xml"/>
  <Override PartName="/xl/charts/colors12.xml" ContentType="application/vnd.ms-office.chartcolorstyle+xml"/>
  <Override PartName="/xl/charts/chart13.xml" ContentType="application/vnd.openxmlformats-officedocument.drawingml.chart+xml"/>
  <Override PartName="/xl/charts/style13.xml" ContentType="application/vnd.ms-office.chartstyle+xml"/>
  <Override PartName="/xl/charts/colors13.xml" ContentType="application/vnd.ms-office.chartcolorstyle+xml"/>
  <Override PartName="/xl/drawings/drawing11.xml" ContentType="application/vnd.openxmlformats-officedocument.drawingml.chartshapes+xml"/>
  <Override PartName="/xl/charts/chart14.xml" ContentType="application/vnd.openxmlformats-officedocument.drawingml.chart+xml"/>
  <Override PartName="/xl/charts/style14.xml" ContentType="application/vnd.ms-office.chartstyle+xml"/>
  <Override PartName="/xl/charts/colors14.xml" ContentType="application/vnd.ms-office.chartcolorstyle+xml"/>
  <Override PartName="/xl/drawings/drawing12.xml" ContentType="application/vnd.openxmlformats-officedocument.drawingml.chartshapes+xml"/>
  <Override PartName="/xl/drawings/drawing13.xml" ContentType="application/vnd.openxmlformats-officedocument.drawing+xml"/>
  <Override PartName="/xl/charts/chart15.xml" ContentType="application/vnd.openxmlformats-officedocument.drawingml.chart+xml"/>
  <Override PartName="/xl/charts/style15.xml" ContentType="application/vnd.ms-office.chartstyle+xml"/>
  <Override PartName="/xl/charts/colors15.xml" ContentType="application/vnd.ms-office.chartcolorstyle+xml"/>
  <Override PartName="/xl/charts/chart16.xml" ContentType="application/vnd.openxmlformats-officedocument.drawingml.chart+xml"/>
  <Override PartName="/xl/charts/style16.xml" ContentType="application/vnd.ms-office.chartstyle+xml"/>
  <Override PartName="/xl/charts/colors16.xml" ContentType="application/vnd.ms-office.chartcolorstyle+xml"/>
  <Override PartName="/xl/charts/chart17.xml" ContentType="application/vnd.openxmlformats-officedocument.drawingml.chart+xml"/>
  <Override PartName="/xl/charts/style17.xml" ContentType="application/vnd.ms-office.chartstyle+xml"/>
  <Override PartName="/xl/charts/colors17.xml" ContentType="application/vnd.ms-office.chartcolorstyle+xml"/>
  <Override PartName="/xl/charts/chart18.xml" ContentType="application/vnd.openxmlformats-officedocument.drawingml.chart+xml"/>
  <Override PartName="/xl/charts/style18.xml" ContentType="application/vnd.ms-office.chartstyle+xml"/>
  <Override PartName="/xl/charts/colors18.xml" ContentType="application/vnd.ms-office.chartcolorstyle+xml"/>
  <Override PartName="/xl/charts/chart19.xml" ContentType="application/vnd.openxmlformats-officedocument.drawingml.chart+xml"/>
  <Override PartName="/xl/charts/style19.xml" ContentType="application/vnd.ms-office.chartstyle+xml"/>
  <Override PartName="/xl/charts/colors19.xml" ContentType="application/vnd.ms-office.chartcolorstyle+xml"/>
  <Override PartName="/xl/charts/chart20.xml" ContentType="application/vnd.openxmlformats-officedocument.drawingml.chart+xml"/>
  <Override PartName="/xl/charts/style20.xml" ContentType="application/vnd.ms-office.chartstyle+xml"/>
  <Override PartName="/xl/charts/colors20.xml" ContentType="application/vnd.ms-office.chartcolorstyle+xml"/>
  <Override PartName="/xl/drawings/drawing14.xml" ContentType="application/vnd.openxmlformats-officedocument.drawingml.chartshapes+xml"/>
  <Override PartName="/xl/charts/chart21.xml" ContentType="application/vnd.openxmlformats-officedocument.drawingml.chart+xml"/>
  <Override PartName="/xl/charts/style21.xml" ContentType="application/vnd.ms-office.chartstyle+xml"/>
  <Override PartName="/xl/charts/colors21.xml" ContentType="application/vnd.ms-office.chartcolorstyle+xml"/>
  <Override PartName="/xl/drawings/drawing15.xml" ContentType="application/vnd.openxmlformats-officedocument.drawingml.chartshapes+xml"/>
  <Override PartName="/xl/charts/chart22.xml" ContentType="application/vnd.openxmlformats-officedocument.drawingml.chart+xml"/>
  <Override PartName="/xl/charts/style22.xml" ContentType="application/vnd.ms-office.chartstyle+xml"/>
  <Override PartName="/xl/charts/colors22.xml" ContentType="application/vnd.ms-office.chartcolorstyle+xml"/>
  <Override PartName="/xl/drawings/drawing16.xml" ContentType="application/vnd.openxmlformats-officedocument.drawingml.chartshapes+xml"/>
  <Override PartName="/xl/charts/chart23.xml" ContentType="application/vnd.openxmlformats-officedocument.drawingml.chart+xml"/>
  <Override PartName="/xl/charts/style23.xml" ContentType="application/vnd.ms-office.chartstyle+xml"/>
  <Override PartName="/xl/charts/colors23.xml" ContentType="application/vnd.ms-office.chartcolorstyle+xml"/>
  <Override PartName="/xl/drawings/drawing17.xml" ContentType="application/vnd.openxmlformats-officedocument.drawingml.chartshapes+xml"/>
  <Override PartName="/xl/drawings/drawing18.xml" ContentType="application/vnd.openxmlformats-officedocument.drawing+xml"/>
  <Override PartName="/xl/charts/chart24.xml" ContentType="application/vnd.openxmlformats-officedocument.drawingml.chart+xml"/>
  <Override PartName="/xl/charts/style24.xml" ContentType="application/vnd.ms-office.chartstyle+xml"/>
  <Override PartName="/xl/charts/colors24.xml" ContentType="application/vnd.ms-office.chartcolorstyle+xml"/>
  <Override PartName="/xl/charts/chart25.xml" ContentType="application/vnd.openxmlformats-officedocument.drawingml.chart+xml"/>
  <Override PartName="/xl/charts/style25.xml" ContentType="application/vnd.ms-office.chartstyle+xml"/>
  <Override PartName="/xl/charts/colors25.xml" ContentType="application/vnd.ms-office.chartcolorstyle+xml"/>
  <Override PartName="/xl/charts/chart26.xml" ContentType="application/vnd.openxmlformats-officedocument.drawingml.chart+xml"/>
  <Override PartName="/xl/charts/style26.xml" ContentType="application/vnd.ms-office.chartstyle+xml"/>
  <Override PartName="/xl/charts/colors26.xml" ContentType="application/vnd.ms-office.chartcolorstyle+xml"/>
  <Override PartName="/xl/charts/chart27.xml" ContentType="application/vnd.openxmlformats-officedocument.drawingml.chart+xml"/>
  <Override PartName="/xl/charts/style27.xml" ContentType="application/vnd.ms-office.chartstyle+xml"/>
  <Override PartName="/xl/charts/colors27.xml" ContentType="application/vnd.ms-office.chartcolorstyle+xml"/>
  <Override PartName="/xl/charts/chart28.xml" ContentType="application/vnd.openxmlformats-officedocument.drawingml.chart+xml"/>
  <Override PartName="/xl/charts/style28.xml" ContentType="application/vnd.ms-office.chartstyle+xml"/>
  <Override PartName="/xl/charts/colors28.xml" ContentType="application/vnd.ms-office.chartcolorstyle+xml"/>
  <Override PartName="/xl/charts/chart29.xml" ContentType="application/vnd.openxmlformats-officedocument.drawingml.chart+xml"/>
  <Override PartName="/xl/charts/style29.xml" ContentType="application/vnd.ms-office.chartstyle+xml"/>
  <Override PartName="/xl/charts/colors29.xml" ContentType="application/vnd.ms-office.chartcolorstyle+xml"/>
  <Override PartName="/xl/drawings/drawing1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1_アップス\業務\2022年度\99_ひなたまちづくり応援シートデータ更新\3_ひなたまちづくり応援シート更新\2_公表版（パスワード設定）\"/>
    </mc:Choice>
  </mc:AlternateContent>
  <workbookProtection workbookAlgorithmName="SHA-512" workbookHashValue="Bw5+5FFZKx6h4XNO7LIdPCwX0McLHm96SfQp2ZHIrRBrNalB2ZFYyit2EPo/308cY7VTo2sVd+ZUlhYWqQCpSw==" workbookSaltValue="MSmZau/veqT8/WSH93z80Q==" workbookSpinCount="100000" lockStructure="1"/>
  <bookViews>
    <workbookView xWindow="1695" yWindow="6315" windowWidth="17895" windowHeight="8130" tabRatio="875"/>
  </bookViews>
  <sheets>
    <sheet name="表紙" sheetId="25" r:id="rId1"/>
    <sheet name="現況シート" sheetId="15" r:id="rId2"/>
    <sheet name="将来予測シート①" sheetId="19" r:id="rId3"/>
    <sheet name="将来予測シート②" sheetId="21" r:id="rId4"/>
    <sheet name="地域特徴シート" sheetId="24" r:id="rId5"/>
    <sheet name="おわりに" sheetId="27" r:id="rId6"/>
    <sheet name="管理者入力シート" sheetId="16" state="hidden" r:id="rId7"/>
    <sheet name="管理者用人口入力シート" sheetId="17" state="hidden" r:id="rId8"/>
    <sheet name="管理者用グラフシート" sheetId="18" state="hidden" r:id="rId9"/>
    <sheet name="管理者用地域特徴シート" sheetId="22" state="hidden" r:id="rId10"/>
  </sheets>
  <definedNames>
    <definedName name="_xlnm.Print_Area" localSheetId="5">おわりに!$A$1:$H$34</definedName>
    <definedName name="_xlnm.Print_Area" localSheetId="1">現況シート!$A$1:$I$164</definedName>
    <definedName name="_xlnm.Print_Area" localSheetId="2">将来予測シート①!$A$1:$I$204</definedName>
    <definedName name="_xlnm.Print_Area" localSheetId="3">将来予測シート②!$A$1:$I$314</definedName>
    <definedName name="_xlnm.Print_Area" localSheetId="4">地域特徴シート!$A$1:$H$170</definedName>
    <definedName name="_xlnm.Print_Area" localSheetId="0">表紙!$A$1:$J$40</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DW15" i="17" l="1"/>
  <c r="B7" i="16" l="1"/>
  <c r="B6" i="16"/>
  <c r="C13" i="24" l="1"/>
  <c r="CJ4" i="22"/>
  <c r="CI4" i="22"/>
  <c r="CH4" i="22"/>
  <c r="CG4" i="22"/>
  <c r="CF4" i="22"/>
  <c r="CE4" i="22"/>
  <c r="CD4" i="22"/>
  <c r="CC4" i="22"/>
  <c r="BI4" i="22"/>
  <c r="BH4" i="22"/>
  <c r="BG4" i="22"/>
  <c r="BF4" i="22"/>
  <c r="BE4" i="22"/>
  <c r="BD4" i="22"/>
  <c r="BC4" i="22"/>
  <c r="BB4" i="22"/>
  <c r="BA4" i="22"/>
  <c r="AZ4" i="22"/>
  <c r="AY4" i="22"/>
  <c r="AX4" i="22"/>
  <c r="AW4" i="22"/>
  <c r="AV4" i="22"/>
  <c r="AU4" i="22"/>
  <c r="AT4" i="22"/>
  <c r="AS4" i="22"/>
  <c r="AR4" i="22"/>
  <c r="AQ4" i="22"/>
  <c r="AP4" i="22"/>
  <c r="AE4" i="22"/>
  <c r="AF4" i="22"/>
  <c r="AG4" i="22"/>
  <c r="AH4" i="22"/>
  <c r="AD4" i="22"/>
  <c r="AB4" i="22"/>
  <c r="AA4" i="22"/>
  <c r="Z4" i="22"/>
  <c r="Y4" i="22"/>
  <c r="X4" i="22"/>
  <c r="V4" i="22"/>
  <c r="U4" i="22"/>
  <c r="T4" i="22"/>
  <c r="S4" i="22"/>
  <c r="R4" i="22"/>
  <c r="N4" i="22"/>
  <c r="M4" i="22"/>
  <c r="L4" i="22"/>
  <c r="K4" i="22"/>
  <c r="G4" i="22"/>
  <c r="F4" i="22"/>
  <c r="E4" i="22"/>
  <c r="D4" i="22"/>
  <c r="C12" i="24" s="1"/>
  <c r="B31" i="21"/>
  <c r="B32" i="21"/>
  <c r="A137" i="19" l="1"/>
  <c r="A103" i="19"/>
  <c r="B87" i="18" l="1"/>
  <c r="B63" i="18"/>
  <c r="B39" i="18"/>
  <c r="A134" i="15" l="1"/>
  <c r="A5" i="22"/>
  <c r="A1" i="17"/>
  <c r="CP5" i="22" l="1"/>
  <c r="CL5" i="22"/>
  <c r="CH5" i="22"/>
  <c r="CD5" i="22"/>
  <c r="BZ5" i="22"/>
  <c r="BV5" i="22"/>
  <c r="BR5" i="22"/>
  <c r="BN5" i="22"/>
  <c r="BJ5" i="22"/>
  <c r="BF5" i="22"/>
  <c r="BB5" i="22"/>
  <c r="AX5" i="22"/>
  <c r="AT5" i="22"/>
  <c r="AP5" i="22"/>
  <c r="AL5" i="22"/>
  <c r="AH5" i="22"/>
  <c r="AD5" i="22"/>
  <c r="Z5" i="22"/>
  <c r="V5" i="22"/>
  <c r="R5" i="22"/>
  <c r="N5" i="22"/>
  <c r="J5" i="22"/>
  <c r="F5" i="22"/>
  <c r="AO5" i="22"/>
  <c r="AG5" i="22"/>
  <c r="Y5" i="22"/>
  <c r="Q5" i="22"/>
  <c r="I5" i="22"/>
  <c r="CI5" i="22"/>
  <c r="BS5" i="22"/>
  <c r="BK5" i="22"/>
  <c r="AU5" i="22"/>
  <c r="AI5" i="22"/>
  <c r="AA5" i="22"/>
  <c r="O5" i="22"/>
  <c r="CO5" i="22"/>
  <c r="CK5" i="22"/>
  <c r="CG5" i="22"/>
  <c r="CC5" i="22"/>
  <c r="BY5" i="22"/>
  <c r="BU5" i="22"/>
  <c r="BQ5" i="22"/>
  <c r="BM5" i="22"/>
  <c r="BI5" i="22"/>
  <c r="BE5" i="22"/>
  <c r="BA5" i="22"/>
  <c r="AW5" i="22"/>
  <c r="AS5" i="22"/>
  <c r="AK5" i="22"/>
  <c r="AC5" i="22"/>
  <c r="U5" i="22"/>
  <c r="M5" i="22"/>
  <c r="E5" i="22"/>
  <c r="BW5" i="22"/>
  <c r="BC5" i="22"/>
  <c r="AM5" i="22"/>
  <c r="W5" i="22"/>
  <c r="G5" i="22"/>
  <c r="CN5" i="22"/>
  <c r="CJ5" i="22"/>
  <c r="CF5" i="22"/>
  <c r="CB5" i="22"/>
  <c r="BX5" i="22"/>
  <c r="BT5" i="22"/>
  <c r="BP5" i="22"/>
  <c r="BL5" i="22"/>
  <c r="BH5" i="22"/>
  <c r="BD5" i="22"/>
  <c r="AZ5" i="22"/>
  <c r="AV5" i="22"/>
  <c r="AR5" i="22"/>
  <c r="AN5" i="22"/>
  <c r="AJ5" i="22"/>
  <c r="AF5" i="22"/>
  <c r="AB5" i="22"/>
  <c r="X5" i="22"/>
  <c r="T5" i="22"/>
  <c r="P5" i="22"/>
  <c r="L5" i="22"/>
  <c r="H5" i="22"/>
  <c r="D5" i="22"/>
  <c r="C11" i="24" s="1"/>
  <c r="CM5" i="22"/>
  <c r="CE5" i="22"/>
  <c r="CA5" i="22"/>
  <c r="BO5" i="22"/>
  <c r="BG5" i="22"/>
  <c r="AY5" i="22"/>
  <c r="AQ5" i="22"/>
  <c r="AE5" i="22"/>
  <c r="S5" i="22"/>
  <c r="K5" i="22"/>
  <c r="C5" i="22"/>
  <c r="B4" i="16" s="1"/>
  <c r="B5" i="22"/>
  <c r="B3" i="16" l="1"/>
  <c r="B4" i="22"/>
  <c r="C4" i="22" s="1"/>
  <c r="A73" i="19"/>
  <c r="C41" i="19"/>
  <c r="C40" i="19"/>
  <c r="A11" i="19"/>
  <c r="A7" i="19"/>
  <c r="AN9" i="17" l="1"/>
  <c r="AN10" i="17"/>
  <c r="Y11" i="17" l="1"/>
  <c r="Y10" i="17"/>
  <c r="Y9" i="17"/>
  <c r="Y8" i="17"/>
  <c r="Y7" i="17"/>
  <c r="Y6" i="17"/>
  <c r="Y5" i="17"/>
  <c r="Y4" i="17"/>
  <c r="Y3" i="17"/>
  <c r="CL4" i="22" l="1"/>
  <c r="BZ4" i="22"/>
  <c r="AI4" i="22"/>
  <c r="Q4" i="22"/>
  <c r="P4" i="22"/>
  <c r="J4" i="22"/>
  <c r="H4" i="22"/>
  <c r="CP4" i="22" l="1"/>
  <c r="CA4" i="22"/>
  <c r="BL4" i="22"/>
  <c r="CB4" i="22"/>
  <c r="BO4" i="22"/>
  <c r="BW4" i="22"/>
  <c r="CM4" i="22"/>
  <c r="BK4" i="22"/>
  <c r="BS4" i="22"/>
  <c r="BT4" i="22"/>
  <c r="W4" i="22"/>
  <c r="AL4" i="22" s="1"/>
  <c r="I4" i="22"/>
  <c r="AC4" i="22"/>
  <c r="BP4" i="22"/>
  <c r="BX4" i="22"/>
  <c r="CN4" i="22"/>
  <c r="O4" i="22"/>
  <c r="BM4" i="22"/>
  <c r="BQ4" i="22"/>
  <c r="BU4" i="22"/>
  <c r="BY4" i="22"/>
  <c r="CK4" i="22"/>
  <c r="CO4" i="22"/>
  <c r="BJ4" i="22"/>
  <c r="BN4" i="22"/>
  <c r="BR4" i="22"/>
  <c r="BV4" i="22"/>
  <c r="AN4" i="22" l="1"/>
  <c r="AO4" i="22"/>
  <c r="AJ4" i="22"/>
  <c r="AK4" i="22"/>
  <c r="AM4" i="22"/>
  <c r="F37" i="24" l="1"/>
  <c r="F141" i="24" l="1"/>
  <c r="C141" i="24"/>
  <c r="F139" i="24"/>
  <c r="C139" i="24"/>
  <c r="A138" i="24"/>
  <c r="A104" i="24"/>
  <c r="A76" i="24"/>
  <c r="E74" i="24"/>
  <c r="C74" i="24"/>
  <c r="F72" i="24"/>
  <c r="F71" i="24"/>
  <c r="A41" i="24"/>
  <c r="A38" i="24"/>
  <c r="A24" i="24"/>
  <c r="A8" i="24"/>
  <c r="A12" i="24" s="1"/>
  <c r="E70" i="24"/>
  <c r="G23" i="24"/>
  <c r="F7" i="24"/>
  <c r="D41" i="24" l="1"/>
  <c r="D9" i="24"/>
  <c r="D25" i="24"/>
  <c r="D8" i="24"/>
  <c r="D39" i="24"/>
  <c r="D76" i="24"/>
  <c r="D38" i="24"/>
  <c r="D24" i="24"/>
  <c r="D77" i="24" l="1"/>
  <c r="D42" i="24"/>
  <c r="A1" i="24"/>
  <c r="A11" i="24" s="1"/>
  <c r="B13" i="16" l="1"/>
  <c r="O187" i="18" s="1"/>
  <c r="B12" i="16"/>
  <c r="O163" i="18" s="1"/>
  <c r="B11" i="16"/>
  <c r="B10" i="16"/>
  <c r="B9" i="16"/>
  <c r="B8" i="16"/>
  <c r="A2" i="21"/>
  <c r="H91" i="18" l="1"/>
  <c r="A102" i="19" s="1"/>
  <c r="G37" i="21"/>
  <c r="O91" i="18"/>
  <c r="G38" i="21"/>
  <c r="O115" i="18"/>
  <c r="H139" i="18"/>
  <c r="O139" i="18"/>
  <c r="G39" i="21"/>
  <c r="G36" i="21"/>
  <c r="O67" i="18"/>
  <c r="A136" i="19"/>
  <c r="H67" i="18"/>
  <c r="BI15" i="17"/>
  <c r="BH15" i="17" s="1"/>
  <c r="H163" i="18"/>
  <c r="CP18" i="17"/>
  <c r="CP19" i="17" s="1"/>
  <c r="CP20" i="17" s="1"/>
  <c r="CO20" i="17" s="1"/>
  <c r="H187" i="18"/>
  <c r="H115" i="18"/>
  <c r="A47" i="21"/>
  <c r="A10" i="19"/>
  <c r="DX6" i="17"/>
  <c r="A6" i="19"/>
  <c r="A46" i="21"/>
  <c r="BI18" i="17"/>
  <c r="BH18" i="17" s="1"/>
  <c r="CP15" i="17"/>
  <c r="CO15" i="17" s="1"/>
  <c r="DX3" i="17"/>
  <c r="DX9" i="17"/>
  <c r="DX12" i="17"/>
  <c r="DX29" i="17" s="1"/>
  <c r="DX30" i="17" s="1"/>
  <c r="DX31" i="17" s="1"/>
  <c r="BI16" i="17"/>
  <c r="BI17" i="17" s="1"/>
  <c r="BH17" i="17" s="1"/>
  <c r="O236" i="18" l="1"/>
  <c r="A177" i="21"/>
  <c r="O212" i="18"/>
  <c r="A144" i="21"/>
  <c r="CO19" i="17"/>
  <c r="CO18" i="17"/>
  <c r="BI19" i="17"/>
  <c r="BI20" i="17" s="1"/>
  <c r="BH20" i="17" s="1"/>
  <c r="DX13" i="17"/>
  <c r="DX14" i="17" s="1"/>
  <c r="DX10" i="17"/>
  <c r="DX11" i="17" s="1"/>
  <c r="DX26" i="17"/>
  <c r="DX27" i="17" s="1"/>
  <c r="DX28" i="17" s="1"/>
  <c r="CP16" i="17"/>
  <c r="CP17" i="17" s="1"/>
  <c r="CO17" i="17" s="1"/>
  <c r="DX7" i="17"/>
  <c r="DX8" i="17" s="1"/>
  <c r="DX23" i="17"/>
  <c r="DX24" i="17" s="1"/>
  <c r="DX25" i="17" s="1"/>
  <c r="DX4" i="17"/>
  <c r="DX5" i="17" s="1"/>
  <c r="DX20" i="17"/>
  <c r="DX21" i="17" s="1"/>
  <c r="DX22" i="17" s="1"/>
  <c r="BH16" i="17"/>
  <c r="A2" i="19"/>
  <c r="B2" i="15"/>
  <c r="A15" i="25"/>
  <c r="BH19" i="17" l="1"/>
  <c r="CO16" i="17"/>
  <c r="AF14" i="17"/>
  <c r="AC14" i="17"/>
  <c r="AB14" i="17"/>
  <c r="AA14" i="17"/>
  <c r="Z14" i="17"/>
  <c r="Y14" i="17"/>
  <c r="AF13" i="17"/>
  <c r="AC13" i="17"/>
  <c r="AB13" i="17"/>
  <c r="AA13" i="17"/>
  <c r="Z13" i="17"/>
  <c r="Y13" i="17"/>
  <c r="AF12" i="17"/>
  <c r="AC12" i="17"/>
  <c r="AB12" i="17"/>
  <c r="AA12" i="17"/>
  <c r="Z12" i="17"/>
  <c r="Y12" i="17"/>
  <c r="AD12" i="17" l="1"/>
  <c r="AE14" i="17"/>
  <c r="AD14" i="17"/>
  <c r="AE12" i="17"/>
  <c r="AD13" i="17"/>
  <c r="AE13" i="17"/>
  <c r="A43" i="21"/>
  <c r="CP12" i="17"/>
  <c r="H9" i="18"/>
  <c r="H8" i="18"/>
  <c r="CP3" i="17"/>
  <c r="AK12" i="17"/>
  <c r="AF20" i="17"/>
  <c r="AF19" i="17"/>
  <c r="AF18" i="17"/>
  <c r="AF17" i="17"/>
  <c r="AF16" i="17"/>
  <c r="AF15" i="17"/>
  <c r="AF11" i="17"/>
  <c r="AF10" i="17"/>
  <c r="AF9" i="17"/>
  <c r="AF8" i="17"/>
  <c r="AF7" i="17"/>
  <c r="AF6" i="17"/>
  <c r="AF5" i="17"/>
  <c r="AF4" i="17"/>
  <c r="AF3" i="17"/>
  <c r="BI6" i="17"/>
  <c r="BH6" i="17" s="1"/>
  <c r="AO10" i="17"/>
  <c r="AP10" i="17" s="1"/>
  <c r="AQ10" i="17" s="1"/>
  <c r="AR10" i="17" s="1"/>
  <c r="AS10" i="17" s="1"/>
  <c r="AT10" i="17" s="1"/>
  <c r="AU10" i="17" s="1"/>
  <c r="AV10" i="17" s="1"/>
  <c r="AW10" i="17" s="1"/>
  <c r="AX10" i="17" s="1"/>
  <c r="AY10" i="17" s="1"/>
  <c r="AZ10" i="17" s="1"/>
  <c r="BA10" i="17" s="1"/>
  <c r="BB10" i="17" s="1"/>
  <c r="BC10" i="17" s="1"/>
  <c r="BD10" i="17" s="1"/>
  <c r="BE10" i="17" s="1"/>
  <c r="BF10" i="17" s="1"/>
  <c r="AO9" i="17"/>
  <c r="AP9" i="17" s="1"/>
  <c r="AQ9" i="17" s="1"/>
  <c r="AR9" i="17" s="1"/>
  <c r="AS9" i="17" s="1"/>
  <c r="AT9" i="17" s="1"/>
  <c r="AU9" i="17" s="1"/>
  <c r="AV9" i="17" s="1"/>
  <c r="AW9" i="17" s="1"/>
  <c r="AX9" i="17" s="1"/>
  <c r="AY9" i="17" s="1"/>
  <c r="AZ9" i="17" s="1"/>
  <c r="BA9" i="17" s="1"/>
  <c r="BB9" i="17" s="1"/>
  <c r="BC9" i="17" s="1"/>
  <c r="BD9" i="17" s="1"/>
  <c r="BE9" i="17" s="1"/>
  <c r="BF9" i="17" s="1"/>
  <c r="AK7" i="17"/>
  <c r="AK8" i="17" s="1"/>
  <c r="AJ7" i="17"/>
  <c r="AJ8" i="17" s="1"/>
  <c r="AK5" i="17"/>
  <c r="AJ5" i="17"/>
  <c r="AK3" i="17"/>
  <c r="AJ3" i="17"/>
  <c r="AC19" i="17"/>
  <c r="AB19" i="17"/>
  <c r="AA19" i="17"/>
  <c r="Z19" i="17"/>
  <c r="Y20" i="17"/>
  <c r="Y19" i="17"/>
  <c r="Y18" i="17"/>
  <c r="AC20" i="17"/>
  <c r="AB20" i="17"/>
  <c r="AA20" i="17"/>
  <c r="Z20" i="17"/>
  <c r="A20" i="17"/>
  <c r="A19" i="17"/>
  <c r="AC18" i="17"/>
  <c r="AB18" i="17"/>
  <c r="AA18" i="17"/>
  <c r="Z18" i="17"/>
  <c r="A18" i="17"/>
  <c r="AC17" i="17"/>
  <c r="AB17" i="17"/>
  <c r="AA17" i="17"/>
  <c r="Z17" i="17"/>
  <c r="Y17" i="17"/>
  <c r="A17" i="17"/>
  <c r="AC16" i="17"/>
  <c r="AB16" i="17"/>
  <c r="AA16" i="17"/>
  <c r="Z16" i="17"/>
  <c r="Y16" i="17"/>
  <c r="A16" i="17"/>
  <c r="AC15" i="17"/>
  <c r="AB15" i="17"/>
  <c r="AA15" i="17"/>
  <c r="Z15" i="17"/>
  <c r="Y15" i="17"/>
  <c r="A15" i="17"/>
  <c r="A14" i="17"/>
  <c r="A13" i="17"/>
  <c r="A12" i="17"/>
  <c r="AC11" i="17"/>
  <c r="AC10" i="17"/>
  <c r="AC9" i="17"/>
  <c r="AC8" i="17"/>
  <c r="AC7" i="17"/>
  <c r="AC6" i="17"/>
  <c r="AC5" i="17"/>
  <c r="AC4" i="17"/>
  <c r="AC3" i="17"/>
  <c r="AB11" i="17"/>
  <c r="AB10" i="17"/>
  <c r="AB9" i="17"/>
  <c r="AB8" i="17"/>
  <c r="AB7" i="17"/>
  <c r="AB6" i="17"/>
  <c r="AB5" i="17"/>
  <c r="AB4" i="17"/>
  <c r="AB3" i="17"/>
  <c r="B6" i="18"/>
  <c r="B5" i="18"/>
  <c r="H5" i="18" s="1"/>
  <c r="H59" i="18" s="1"/>
  <c r="B4" i="18"/>
  <c r="Z3" i="17"/>
  <c r="A4" i="17"/>
  <c r="A5" i="17"/>
  <c r="A6" i="17"/>
  <c r="A7" i="17"/>
  <c r="A8" i="17"/>
  <c r="A9" i="17"/>
  <c r="A10" i="17"/>
  <c r="A11" i="17"/>
  <c r="A3" i="17"/>
  <c r="AA11" i="17"/>
  <c r="Z11" i="17"/>
  <c r="AD11" i="17"/>
  <c r="AA10" i="17"/>
  <c r="Z10" i="17"/>
  <c r="AA9" i="17"/>
  <c r="Z9" i="17"/>
  <c r="AA8" i="17"/>
  <c r="Z8" i="17"/>
  <c r="AA7" i="17"/>
  <c r="Z7" i="17"/>
  <c r="AA6" i="17"/>
  <c r="Z6" i="17"/>
  <c r="AA5" i="17"/>
  <c r="Z5" i="17"/>
  <c r="AA4" i="17"/>
  <c r="Z4" i="17"/>
  <c r="AA3" i="17"/>
  <c r="A6" i="15"/>
  <c r="AD18" i="17" l="1"/>
  <c r="C95" i="18"/>
  <c r="C103" i="18"/>
  <c r="C68" i="18"/>
  <c r="C99" i="18"/>
  <c r="B89" i="18"/>
  <c r="C101" i="18"/>
  <c r="C69" i="18"/>
  <c r="B108" i="18"/>
  <c r="B95" i="18"/>
  <c r="B105" i="18"/>
  <c r="C84" i="18"/>
  <c r="B102" i="18"/>
  <c r="C79" i="18"/>
  <c r="B93" i="18"/>
  <c r="B76" i="18"/>
  <c r="C97" i="18"/>
  <c r="B65" i="18"/>
  <c r="B67" i="18"/>
  <c r="B103" i="18"/>
  <c r="C80" i="18"/>
  <c r="C91" i="18"/>
  <c r="C72" i="18"/>
  <c r="C109" i="18"/>
  <c r="C81" i="18"/>
  <c r="B71" i="18"/>
  <c r="B66" i="18"/>
  <c r="C90" i="18"/>
  <c r="C71" i="18"/>
  <c r="C89" i="18"/>
  <c r="B99" i="18"/>
  <c r="B109" i="18"/>
  <c r="B84" i="18"/>
  <c r="C105" i="18"/>
  <c r="C75" i="18"/>
  <c r="B75" i="18"/>
  <c r="B82" i="18"/>
  <c r="C98" i="18"/>
  <c r="C77" i="18"/>
  <c r="B69" i="18"/>
  <c r="B107" i="18"/>
  <c r="C65" i="18"/>
  <c r="B70" i="18"/>
  <c r="B77" i="18"/>
  <c r="C102" i="18"/>
  <c r="C67" i="18"/>
  <c r="C74" i="18"/>
  <c r="B92" i="18"/>
  <c r="B79" i="18"/>
  <c r="C92" i="18"/>
  <c r="C106" i="18"/>
  <c r="C85" i="18"/>
  <c r="B73" i="18"/>
  <c r="B74" i="18"/>
  <c r="C94" i="18"/>
  <c r="B68" i="18"/>
  <c r="C70" i="18"/>
  <c r="B96" i="18"/>
  <c r="B83" i="18"/>
  <c r="C100" i="18"/>
  <c r="B90" i="18"/>
  <c r="C66" i="18"/>
  <c r="C93" i="18"/>
  <c r="C82" i="18"/>
  <c r="B100" i="18"/>
  <c r="C73" i="18"/>
  <c r="C108" i="18"/>
  <c r="C76" i="18"/>
  <c r="B94" i="18"/>
  <c r="B81" i="18"/>
  <c r="C96" i="18"/>
  <c r="B80" i="18"/>
  <c r="B72" i="18"/>
  <c r="C78" i="18"/>
  <c r="B104" i="18"/>
  <c r="C83" i="18"/>
  <c r="B97" i="18"/>
  <c r="C107" i="18"/>
  <c r="B98" i="18"/>
  <c r="B85" i="18"/>
  <c r="C104" i="18"/>
  <c r="B91" i="18"/>
  <c r="B78" i="18"/>
  <c r="B106" i="18"/>
  <c r="B101" i="18"/>
  <c r="A135" i="15"/>
  <c r="A73" i="15"/>
  <c r="BF5" i="17"/>
  <c r="BB5" i="17"/>
  <c r="AX5" i="17"/>
  <c r="AT5" i="17"/>
  <c r="AP5" i="17"/>
  <c r="AY5" i="17"/>
  <c r="AQ5" i="17"/>
  <c r="BE5" i="17"/>
  <c r="BA5" i="17"/>
  <c r="AW5" i="17"/>
  <c r="AS5" i="17"/>
  <c r="AO5" i="17"/>
  <c r="AU5" i="17"/>
  <c r="BD5" i="17"/>
  <c r="AZ5" i="17"/>
  <c r="AV5" i="17"/>
  <c r="AR5" i="17"/>
  <c r="AN5" i="17"/>
  <c r="BC5" i="17"/>
  <c r="AM5" i="17"/>
  <c r="A39" i="15"/>
  <c r="A7" i="15"/>
  <c r="BF3" i="17"/>
  <c r="BB3" i="17"/>
  <c r="AX3" i="17"/>
  <c r="AT3" i="17"/>
  <c r="AP3" i="17"/>
  <c r="AZ3" i="17"/>
  <c r="AR3" i="17"/>
  <c r="AQ3" i="17"/>
  <c r="BE3" i="17"/>
  <c r="BA3" i="17"/>
  <c r="AW3" i="17"/>
  <c r="AS3" i="17"/>
  <c r="AO3" i="17"/>
  <c r="BD3" i="17"/>
  <c r="AN3" i="17"/>
  <c r="BC3" i="17"/>
  <c r="AU3" i="17"/>
  <c r="AV3" i="17"/>
  <c r="AY3" i="17"/>
  <c r="AM3" i="17"/>
  <c r="H15" i="18"/>
  <c r="B22" i="18"/>
  <c r="A6" i="24"/>
  <c r="H4" i="18"/>
  <c r="H14" i="18" s="1"/>
  <c r="AD5" i="17"/>
  <c r="AE15" i="17"/>
  <c r="AE6" i="17"/>
  <c r="AE10" i="17"/>
  <c r="AD9" i="17"/>
  <c r="AK14" i="17"/>
  <c r="O5" i="18"/>
  <c r="O33" i="18" s="1"/>
  <c r="H7" i="18"/>
  <c r="H43" i="18" s="1"/>
  <c r="AK13" i="17"/>
  <c r="B32" i="18"/>
  <c r="CP6" i="17"/>
  <c r="CP7" i="17" s="1"/>
  <c r="CO7" i="17" s="1"/>
  <c r="B24" i="18"/>
  <c r="B34" i="18"/>
  <c r="B35" i="18"/>
  <c r="H41" i="18"/>
  <c r="B25" i="18"/>
  <c r="B15" i="18"/>
  <c r="C15" i="18" s="1"/>
  <c r="I23" i="18" s="1"/>
  <c r="P23" i="18" s="1"/>
  <c r="O8" i="18"/>
  <c r="H54" i="18"/>
  <c r="H36" i="18"/>
  <c r="H26" i="18"/>
  <c r="H62" i="18"/>
  <c r="H19" i="18"/>
  <c r="H45" i="18"/>
  <c r="CP13" i="17"/>
  <c r="CP14" i="17" s="1"/>
  <c r="CO14" i="17" s="1"/>
  <c r="CO12" i="17"/>
  <c r="BI9" i="17"/>
  <c r="BI10" i="17" s="1"/>
  <c r="BI11" i="17" s="1"/>
  <c r="BH11" i="17" s="1"/>
  <c r="BI3" i="17"/>
  <c r="BI12" i="17"/>
  <c r="BH12" i="17" s="1"/>
  <c r="H10" i="18"/>
  <c r="CP9" i="17"/>
  <c r="A44" i="21"/>
  <c r="B12" i="18"/>
  <c r="C12" i="18" s="1"/>
  <c r="I16" i="18" s="1"/>
  <c r="P16" i="18" s="1"/>
  <c r="B30" i="18"/>
  <c r="B10" i="18"/>
  <c r="C10" i="18" s="1"/>
  <c r="I14" i="18" s="1"/>
  <c r="P14" i="18" s="1"/>
  <c r="B20" i="18"/>
  <c r="H63" i="18"/>
  <c r="O9" i="18"/>
  <c r="H55" i="18"/>
  <c r="H37" i="18"/>
  <c r="H27" i="18"/>
  <c r="B14" i="18"/>
  <c r="C14" i="18" s="1"/>
  <c r="I22" i="18" s="1"/>
  <c r="P22" i="18" s="1"/>
  <c r="H6" i="18"/>
  <c r="B36" i="18"/>
  <c r="B16" i="18"/>
  <c r="C16" i="18" s="1"/>
  <c r="I24" i="18" s="1"/>
  <c r="P24" i="18" s="1"/>
  <c r="B26" i="18"/>
  <c r="B11" i="18"/>
  <c r="C11" i="18" s="1"/>
  <c r="I15" i="18" s="1"/>
  <c r="P15" i="18" s="1"/>
  <c r="B31" i="18"/>
  <c r="H23" i="18"/>
  <c r="H33" i="18"/>
  <c r="H44" i="18"/>
  <c r="H51" i="18"/>
  <c r="B21" i="18"/>
  <c r="H18" i="18"/>
  <c r="O23" i="18"/>
  <c r="CP4" i="17"/>
  <c r="CO3" i="17"/>
  <c r="AK4" i="17"/>
  <c r="AK6" i="17"/>
  <c r="BI7" i="17"/>
  <c r="AJ4" i="17"/>
  <c r="AJ6" i="17"/>
  <c r="AD7" i="17"/>
  <c r="AD4" i="17"/>
  <c r="AD8" i="17"/>
  <c r="AE7" i="17"/>
  <c r="AE11" i="17"/>
  <c r="AD16" i="17"/>
  <c r="AE17" i="17"/>
  <c r="AE4" i="17"/>
  <c r="AE3" i="17"/>
  <c r="AD6" i="17"/>
  <c r="AD10" i="17"/>
  <c r="AE5" i="17"/>
  <c r="AE9" i="17"/>
  <c r="AD15" i="17"/>
  <c r="AE16" i="17"/>
  <c r="AE18" i="17"/>
  <c r="AD19" i="17"/>
  <c r="AE8" i="17"/>
  <c r="AD20" i="17"/>
  <c r="AE19" i="17"/>
  <c r="AD3" i="17"/>
  <c r="AD17" i="17"/>
  <c r="AE20" i="17"/>
  <c r="BH9" i="17" l="1"/>
  <c r="AX7" i="17"/>
  <c r="BW3" i="17" s="1"/>
  <c r="AZ7" i="17"/>
  <c r="BY3" i="17" s="1"/>
  <c r="AY7" i="17"/>
  <c r="BX3" i="17" s="1"/>
  <c r="AW7" i="17"/>
  <c r="BV3" i="17" s="1"/>
  <c r="C6" i="18"/>
  <c r="C32" i="18"/>
  <c r="I52" i="18" s="1"/>
  <c r="P52" i="18" s="1"/>
  <c r="C22" i="18"/>
  <c r="I34" i="18" s="1"/>
  <c r="AO7" i="17"/>
  <c r="BN3" i="17" s="1"/>
  <c r="C35" i="18"/>
  <c r="I59" i="18" s="1"/>
  <c r="P59" i="18" s="1"/>
  <c r="C25" i="18"/>
  <c r="I41" i="18" s="1"/>
  <c r="P41" i="18" s="1"/>
  <c r="C31" i="18"/>
  <c r="C21" i="18"/>
  <c r="I33" i="18" s="1"/>
  <c r="P33" i="18" s="1"/>
  <c r="C36" i="18"/>
  <c r="G71" i="15" s="1"/>
  <c r="C26" i="18"/>
  <c r="I42" i="18" s="1"/>
  <c r="D5" i="18"/>
  <c r="J5" i="18" s="1"/>
  <c r="Q5" i="18" s="1"/>
  <c r="D6" i="18"/>
  <c r="J6" i="18" s="1"/>
  <c r="Q6" i="18" s="1"/>
  <c r="C5" i="18"/>
  <c r="A36" i="24"/>
  <c r="I51" i="18"/>
  <c r="P51" i="18" s="1"/>
  <c r="H40" i="18"/>
  <c r="H22" i="18"/>
  <c r="H17" i="18"/>
  <c r="AT7" i="17"/>
  <c r="BS3" i="17" s="1"/>
  <c r="AR7" i="17"/>
  <c r="BQ3" i="17" s="1"/>
  <c r="BD7" i="17"/>
  <c r="CC3" i="17" s="1"/>
  <c r="O51" i="18"/>
  <c r="O41" i="18"/>
  <c r="O15" i="18"/>
  <c r="O59" i="18"/>
  <c r="AV7" i="17"/>
  <c r="BU3" i="17" s="1"/>
  <c r="BF6" i="17"/>
  <c r="BB6" i="17"/>
  <c r="AX6" i="17"/>
  <c r="AT6" i="17"/>
  <c r="AP6" i="17"/>
  <c r="BC6" i="17"/>
  <c r="AQ6" i="17"/>
  <c r="BE6" i="17"/>
  <c r="BA6" i="17"/>
  <c r="AW6" i="17"/>
  <c r="AS6" i="17"/>
  <c r="AO6" i="17"/>
  <c r="AY6" i="17"/>
  <c r="AM6" i="17"/>
  <c r="BD6" i="17"/>
  <c r="AZ6" i="17"/>
  <c r="AV6" i="17"/>
  <c r="AR6" i="17"/>
  <c r="AN6" i="17"/>
  <c r="AU6" i="17"/>
  <c r="BF4" i="17"/>
  <c r="BF8" i="17" s="1"/>
  <c r="CE4" i="17" s="1"/>
  <c r="BB4" i="17"/>
  <c r="BB8" i="17" s="1"/>
  <c r="CA4" i="17" s="1"/>
  <c r="AX4" i="17"/>
  <c r="AT4" i="17"/>
  <c r="AP4" i="17"/>
  <c r="AP8" i="17" s="1"/>
  <c r="BO4" i="17" s="1"/>
  <c r="AR4" i="17"/>
  <c r="AY4" i="17"/>
  <c r="AM4" i="17"/>
  <c r="BE4" i="17"/>
  <c r="BA4" i="17"/>
  <c r="AW4" i="17"/>
  <c r="AS4" i="17"/>
  <c r="AO4" i="17"/>
  <c r="AV4" i="17"/>
  <c r="BC4" i="17"/>
  <c r="AU4" i="17"/>
  <c r="AU8" i="17" s="1"/>
  <c r="BT4" i="17" s="1"/>
  <c r="BD4" i="17"/>
  <c r="AZ4" i="17"/>
  <c r="AN4" i="17"/>
  <c r="AN8" i="17" s="1"/>
  <c r="BM4" i="17" s="1"/>
  <c r="AQ4" i="17"/>
  <c r="O4" i="18"/>
  <c r="O50" i="18" s="1"/>
  <c r="A104" i="15"/>
  <c r="C51" i="18"/>
  <c r="B51" i="18"/>
  <c r="B47" i="18"/>
  <c r="B43" i="18"/>
  <c r="C60" i="18"/>
  <c r="C56" i="18"/>
  <c r="C54" i="18"/>
  <c r="C50" i="18"/>
  <c r="C46" i="18"/>
  <c r="C42" i="18"/>
  <c r="B60" i="18"/>
  <c r="B58" i="18"/>
  <c r="B56" i="18"/>
  <c r="B54" i="18"/>
  <c r="B52" i="18"/>
  <c r="B50" i="18"/>
  <c r="B48" i="18"/>
  <c r="B46" i="18"/>
  <c r="B44" i="18"/>
  <c r="B42" i="18"/>
  <c r="C61" i="18"/>
  <c r="C59" i="18"/>
  <c r="C57" i="18"/>
  <c r="C55" i="18"/>
  <c r="C53" i="18"/>
  <c r="C49" i="18"/>
  <c r="C47" i="18"/>
  <c r="C45" i="18"/>
  <c r="C43" i="18"/>
  <c r="C41" i="18"/>
  <c r="B61" i="18"/>
  <c r="B59" i="18"/>
  <c r="B57" i="18"/>
  <c r="B55" i="18"/>
  <c r="B53" i="18"/>
  <c r="B49" i="18"/>
  <c r="B45" i="18"/>
  <c r="B41" i="18"/>
  <c r="C58" i="18"/>
  <c r="C52" i="18"/>
  <c r="C48" i="18"/>
  <c r="C44" i="18"/>
  <c r="BA7" i="17"/>
  <c r="BZ3" i="17" s="1"/>
  <c r="BB7" i="17"/>
  <c r="CA3" i="17" s="1"/>
  <c r="AM7" i="17"/>
  <c r="BL3" i="17" s="1"/>
  <c r="BC7" i="17"/>
  <c r="CB3" i="17" s="1"/>
  <c r="AS7" i="17"/>
  <c r="BR3" i="17" s="1"/>
  <c r="AN7" i="17"/>
  <c r="BM3" i="17" s="1"/>
  <c r="AP7" i="17"/>
  <c r="BO3" i="17" s="1"/>
  <c r="BF7" i="17"/>
  <c r="CE3" i="17" s="1"/>
  <c r="AQ7" i="17"/>
  <c r="BP3" i="17" s="1"/>
  <c r="AU7" i="17"/>
  <c r="BT3" i="17" s="1"/>
  <c r="BE7" i="17"/>
  <c r="CD3" i="17" s="1"/>
  <c r="H58" i="18"/>
  <c r="H35" i="18"/>
  <c r="H32" i="18"/>
  <c r="H50" i="18"/>
  <c r="H20" i="18"/>
  <c r="A35" i="19" s="1"/>
  <c r="O36" i="18"/>
  <c r="O10" i="18"/>
  <c r="O28" i="18" s="1"/>
  <c r="B210" i="21"/>
  <c r="H25" i="18"/>
  <c r="O7" i="18"/>
  <c r="O61" i="18" s="1"/>
  <c r="H53" i="18"/>
  <c r="H61" i="18"/>
  <c r="F36" i="15"/>
  <c r="D40" i="15" s="1"/>
  <c r="BH10" i="17"/>
  <c r="CP8" i="17"/>
  <c r="CO8" i="17" s="1"/>
  <c r="CO6" i="17"/>
  <c r="O62" i="18"/>
  <c r="O26" i="18"/>
  <c r="CO13" i="17"/>
  <c r="O54" i="18"/>
  <c r="O18" i="18"/>
  <c r="O14" i="18"/>
  <c r="BI13" i="17"/>
  <c r="O46" i="18"/>
  <c r="O44" i="18"/>
  <c r="H46" i="18"/>
  <c r="H28" i="18"/>
  <c r="H56" i="18"/>
  <c r="H38" i="18"/>
  <c r="A69" i="19" s="1"/>
  <c r="H64" i="18"/>
  <c r="BI4" i="17"/>
  <c r="BH3" i="17"/>
  <c r="CO9" i="17"/>
  <c r="CP10" i="17"/>
  <c r="O37" i="18"/>
  <c r="O55" i="18"/>
  <c r="O63" i="18"/>
  <c r="O19" i="18"/>
  <c r="O45" i="18"/>
  <c r="F37" i="15"/>
  <c r="D41" i="15" s="1"/>
  <c r="O27" i="18"/>
  <c r="H42" i="18"/>
  <c r="O6" i="18"/>
  <c r="H16" i="18"/>
  <c r="H52" i="18"/>
  <c r="H60" i="18"/>
  <c r="H34" i="18"/>
  <c r="H24" i="18"/>
  <c r="CP5" i="17"/>
  <c r="CO5" i="17" s="1"/>
  <c r="CO4" i="17"/>
  <c r="BH7" i="17"/>
  <c r="BI8" i="17"/>
  <c r="BH8" i="17" s="1"/>
  <c r="AX8" i="17" l="1"/>
  <c r="BW4" i="17" s="1"/>
  <c r="AT8" i="17"/>
  <c r="BS4" i="17" s="1"/>
  <c r="EH4" i="17" s="1"/>
  <c r="AV8" i="17"/>
  <c r="BU4" i="17" s="1"/>
  <c r="DB4" i="17" s="1"/>
  <c r="BD8" i="17"/>
  <c r="CC4" i="17" s="1"/>
  <c r="DJ4" i="17" s="1"/>
  <c r="AR8" i="17"/>
  <c r="BQ4" i="17" s="1"/>
  <c r="CX4" i="17" s="1"/>
  <c r="O22" i="18"/>
  <c r="G70" i="15"/>
  <c r="I6" i="18"/>
  <c r="E6" i="18"/>
  <c r="E6" i="15" s="1"/>
  <c r="C30" i="18"/>
  <c r="I50" i="18" s="1"/>
  <c r="P50" i="18" s="1"/>
  <c r="C20" i="18"/>
  <c r="I32" i="18" s="1"/>
  <c r="P32" i="18" s="1"/>
  <c r="C34" i="18"/>
  <c r="I58" i="18" s="1"/>
  <c r="P58" i="18" s="1"/>
  <c r="C24" i="18"/>
  <c r="I40" i="18" s="1"/>
  <c r="P40" i="18" s="1"/>
  <c r="E5" i="18"/>
  <c r="I5" i="18"/>
  <c r="P5" i="18" s="1"/>
  <c r="C137" i="15"/>
  <c r="C4" i="18"/>
  <c r="F135" i="15"/>
  <c r="C136" i="15"/>
  <c r="D4" i="18"/>
  <c r="O40" i="18"/>
  <c r="F136" i="15"/>
  <c r="AY8" i="17"/>
  <c r="BX4" i="17" s="1"/>
  <c r="DE4" i="17" s="1"/>
  <c r="BC8" i="17"/>
  <c r="CB4" i="17" s="1"/>
  <c r="CB5" i="17" s="1"/>
  <c r="AW8" i="17"/>
  <c r="BV4" i="17" s="1"/>
  <c r="DC4" i="17" s="1"/>
  <c r="DD7" i="17" s="1"/>
  <c r="AM8" i="17"/>
  <c r="BL4" i="17" s="1"/>
  <c r="BM7" i="17" s="1"/>
  <c r="O58" i="18"/>
  <c r="BA8" i="17"/>
  <c r="BZ4" i="17" s="1"/>
  <c r="BZ5" i="17" s="1"/>
  <c r="O32" i="18"/>
  <c r="AQ8" i="17"/>
  <c r="BP4" i="17" s="1"/>
  <c r="AS8" i="17"/>
  <c r="BR4" i="17" s="1"/>
  <c r="BS7" i="17" s="1"/>
  <c r="AZ8" i="17"/>
  <c r="BY4" i="17" s="1"/>
  <c r="BZ7" i="17" s="1"/>
  <c r="AO8" i="17"/>
  <c r="BN4" i="17" s="1"/>
  <c r="O38" i="18"/>
  <c r="A111" i="21" s="1"/>
  <c r="BE8" i="17"/>
  <c r="CD4" i="17" s="1"/>
  <c r="CD5" i="17" s="1"/>
  <c r="I60" i="18"/>
  <c r="P60" i="18" s="1"/>
  <c r="DK3" i="17"/>
  <c r="DL6" i="17" s="1"/>
  <c r="ES3" i="17"/>
  <c r="O53" i="18"/>
  <c r="O43" i="18"/>
  <c r="O25" i="18"/>
  <c r="O64" i="18"/>
  <c r="O56" i="18"/>
  <c r="O20" i="18"/>
  <c r="A77" i="21" s="1"/>
  <c r="EP4" i="17"/>
  <c r="CY3" i="17"/>
  <c r="CZ6" i="17" s="1"/>
  <c r="CV4" i="17"/>
  <c r="ED4" i="17"/>
  <c r="DL4" i="17"/>
  <c r="ET4" i="17"/>
  <c r="ET21" i="17" s="1"/>
  <c r="DL3" i="17"/>
  <c r="ET3" i="17"/>
  <c r="ET20" i="17" s="1"/>
  <c r="DD3" i="17"/>
  <c r="DE6" i="17" s="1"/>
  <c r="EL3" i="17"/>
  <c r="EL20" i="17" s="1"/>
  <c r="CZ3" i="17"/>
  <c r="DA6" i="17" s="1"/>
  <c r="EH3" i="17"/>
  <c r="EH20" i="17" s="1"/>
  <c r="CX3" i="17"/>
  <c r="CY6" i="17" s="1"/>
  <c r="EO3" i="17"/>
  <c r="EO20" i="17" s="1"/>
  <c r="DA3" i="17"/>
  <c r="DB6" i="17" s="1"/>
  <c r="EI3" i="17"/>
  <c r="EI20" i="17" s="1"/>
  <c r="CV3" i="17"/>
  <c r="CW6" i="17" s="1"/>
  <c r="ED3" i="17"/>
  <c r="DC3" i="17"/>
  <c r="DD6" i="17" s="1"/>
  <c r="EK3" i="17"/>
  <c r="EK20" i="17" s="1"/>
  <c r="EM3" i="17"/>
  <c r="EM20" i="17" s="1"/>
  <c r="DJ3" i="17"/>
  <c r="DK6" i="17" s="1"/>
  <c r="ER3" i="17"/>
  <c r="ER20" i="17" s="1"/>
  <c r="EB4" i="17"/>
  <c r="EB21" i="17" s="1"/>
  <c r="B245" i="21"/>
  <c r="DA4" i="17"/>
  <c r="EI4" i="17"/>
  <c r="CW3" i="17"/>
  <c r="CX6" i="17" s="1"/>
  <c r="CU3" i="17"/>
  <c r="CV6" i="17" s="1"/>
  <c r="EC3" i="17"/>
  <c r="EC20" i="17" s="1"/>
  <c r="EQ3" i="17"/>
  <c r="EQ20" i="17" s="1"/>
  <c r="EN3" i="17"/>
  <c r="EN20" i="17" s="1"/>
  <c r="EP3" i="17"/>
  <c r="EP20" i="17" s="1"/>
  <c r="CT3" i="17"/>
  <c r="CU6" i="17" s="1"/>
  <c r="EB3" i="17"/>
  <c r="DD4" i="17"/>
  <c r="EL4" i="17"/>
  <c r="DB3" i="17"/>
  <c r="EJ3" i="17"/>
  <c r="EJ20" i="17" s="1"/>
  <c r="CS3" i="17"/>
  <c r="CT6" i="17" s="1"/>
  <c r="EA3" i="17"/>
  <c r="EA20" i="17" s="1"/>
  <c r="O35" i="18"/>
  <c r="O17" i="18"/>
  <c r="CT4" i="17"/>
  <c r="BW5" i="17"/>
  <c r="CD6" i="17"/>
  <c r="BM5" i="17"/>
  <c r="CE6" i="17"/>
  <c r="CO10" i="17"/>
  <c r="CP11" i="17"/>
  <c r="CO11" i="17" s="1"/>
  <c r="BI5" i="17"/>
  <c r="BH5" i="17" s="1"/>
  <c r="BH4" i="17"/>
  <c r="BI14" i="17"/>
  <c r="BH14" i="17" s="1"/>
  <c r="BH13" i="17"/>
  <c r="CE5" i="17"/>
  <c r="BT5" i="17"/>
  <c r="BU6" i="17"/>
  <c r="BW6" i="17"/>
  <c r="BO6" i="17"/>
  <c r="BT7" i="17"/>
  <c r="CH3" i="17"/>
  <c r="BR6" i="17"/>
  <c r="BS6" i="17"/>
  <c r="BQ6" i="17"/>
  <c r="DI3" i="17"/>
  <c r="CC6" i="17"/>
  <c r="BM6" i="17"/>
  <c r="CG3" i="17"/>
  <c r="DH4" i="17"/>
  <c r="CM3" i="17"/>
  <c r="DG3" i="17"/>
  <c r="CA6" i="17"/>
  <c r="CJ3" i="17"/>
  <c r="DF3" i="17"/>
  <c r="BZ6" i="17"/>
  <c r="DE3" i="17"/>
  <c r="BY6" i="17"/>
  <c r="CI3" i="17"/>
  <c r="DH3" i="17"/>
  <c r="CB6" i="17"/>
  <c r="CA5" i="17"/>
  <c r="BN6" i="17"/>
  <c r="BO5" i="17"/>
  <c r="BS5" i="17"/>
  <c r="BV6" i="17"/>
  <c r="BX6" i="17"/>
  <c r="BP6" i="17"/>
  <c r="BT6" i="17"/>
  <c r="O42" i="18"/>
  <c r="O60" i="18"/>
  <c r="O52" i="18"/>
  <c r="O24" i="18"/>
  <c r="O34" i="18"/>
  <c r="O16" i="18"/>
  <c r="CZ4" i="17" l="1"/>
  <c r="DA7" i="17" s="1"/>
  <c r="EJ4" i="17"/>
  <c r="EK7" i="17" s="1"/>
  <c r="CC5" i="17"/>
  <c r="CJ5" i="17" s="1"/>
  <c r="O75" i="18"/>
  <c r="ER4" i="17"/>
  <c r="ER21" i="17" s="1"/>
  <c r="ER22" i="17" s="1"/>
  <c r="DI7" i="17"/>
  <c r="DJ10" i="17" s="1"/>
  <c r="EQ4" i="17"/>
  <c r="EQ21" i="17" s="1"/>
  <c r="EQ22" i="17" s="1"/>
  <c r="BQ5" i="17"/>
  <c r="BU5" i="17"/>
  <c r="DB7" i="17"/>
  <c r="DC10" i="17" s="1"/>
  <c r="BU7" i="17"/>
  <c r="BV10" i="17" s="1"/>
  <c r="BW13" i="17" s="1"/>
  <c r="DG4" i="17"/>
  <c r="DG5" i="17" s="1"/>
  <c r="DK4" i="17"/>
  <c r="DL7" i="17" s="1"/>
  <c r="DL8" i="17" s="1"/>
  <c r="BR7" i="17"/>
  <c r="BR8" i="17" s="1"/>
  <c r="CD7" i="17"/>
  <c r="CD8" i="17" s="1"/>
  <c r="BR5" i="17"/>
  <c r="O71" i="18"/>
  <c r="O76" i="18"/>
  <c r="E74" i="15"/>
  <c r="CE7" i="17"/>
  <c r="CE8" i="17" s="1"/>
  <c r="ES4" i="17"/>
  <c r="ES21" i="17" s="1"/>
  <c r="CY4" i="17"/>
  <c r="CZ7" i="17" s="1"/>
  <c r="DA10" i="17" s="1"/>
  <c r="DK7" i="17"/>
  <c r="DL10" i="17" s="1"/>
  <c r="P137" i="18" s="1"/>
  <c r="O88" i="18"/>
  <c r="K6" i="18"/>
  <c r="R6" i="18" s="1"/>
  <c r="P6" i="18"/>
  <c r="O82" i="18"/>
  <c r="BY5" i="17"/>
  <c r="P79" i="18"/>
  <c r="DI4" i="17"/>
  <c r="DJ7" i="17" s="1"/>
  <c r="DK10" i="17" s="1"/>
  <c r="CC7" i="17"/>
  <c r="CC8" i="17" s="1"/>
  <c r="O73" i="18"/>
  <c r="E75" i="15"/>
  <c r="P89" i="18"/>
  <c r="CB7" i="17"/>
  <c r="CB8" i="17" s="1"/>
  <c r="P78" i="18"/>
  <c r="O77" i="18"/>
  <c r="CY7" i="17"/>
  <c r="P81" i="18"/>
  <c r="O89" i="18"/>
  <c r="BV5" i="17"/>
  <c r="O81" i="18"/>
  <c r="O79" i="18"/>
  <c r="O78" i="18"/>
  <c r="O72" i="18"/>
  <c r="P77" i="18"/>
  <c r="O74" i="18"/>
  <c r="CI4" i="17"/>
  <c r="BX5" i="17"/>
  <c r="EM4" i="17"/>
  <c r="EM21" i="17" s="1"/>
  <c r="EM22" i="17" s="1"/>
  <c r="DE7" i="17"/>
  <c r="P82" i="18" s="1"/>
  <c r="BX7" i="17"/>
  <c r="BY10" i="17" s="1"/>
  <c r="BZ13" i="17" s="1"/>
  <c r="I156" i="18" s="1"/>
  <c r="BV7" i="17"/>
  <c r="BW10" i="17" s="1"/>
  <c r="BX13" i="17" s="1"/>
  <c r="I154" i="18" s="1"/>
  <c r="F8" i="15"/>
  <c r="J4" i="18"/>
  <c r="Q4" i="18" s="1"/>
  <c r="K5" i="18"/>
  <c r="R5" i="18" s="1"/>
  <c r="E4" i="18"/>
  <c r="D7" i="15" s="1"/>
  <c r="C8" i="15"/>
  <c r="I4" i="18"/>
  <c r="P4" i="18" s="1"/>
  <c r="I84" i="18"/>
  <c r="H84" i="18"/>
  <c r="H82" i="18"/>
  <c r="H83" i="18"/>
  <c r="CS4" i="17"/>
  <c r="CT7" i="17" s="1"/>
  <c r="P71" i="18" s="1"/>
  <c r="EK4" i="17"/>
  <c r="EK21" i="17" s="1"/>
  <c r="EK22" i="17" s="1"/>
  <c r="BL5" i="17"/>
  <c r="CG5" i="17" s="1"/>
  <c r="I17" i="18" s="1"/>
  <c r="P17" i="18" s="1"/>
  <c r="CM4" i="17"/>
  <c r="BK3" i="17" s="1"/>
  <c r="DZ3" i="17" s="1"/>
  <c r="BW7" i="17"/>
  <c r="BX10" i="17" s="1"/>
  <c r="BY13" i="17" s="1"/>
  <c r="I155" i="18" s="1"/>
  <c r="EA4" i="17"/>
  <c r="EA21" i="17" s="1"/>
  <c r="EA22" i="17" s="1"/>
  <c r="EC4" i="17"/>
  <c r="ED7" i="17" s="1"/>
  <c r="CG4" i="17"/>
  <c r="CW4" i="17"/>
  <c r="CX7" i="17" s="1"/>
  <c r="P75" i="18" s="1"/>
  <c r="DC7" i="17"/>
  <c r="P80" i="18" s="1"/>
  <c r="CU4" i="17"/>
  <c r="CV7" i="17" s="1"/>
  <c r="P73" i="18" s="1"/>
  <c r="CJ4" i="17"/>
  <c r="BO7" i="17"/>
  <c r="BP10" i="17" s="1"/>
  <c r="BQ13" i="17" s="1"/>
  <c r="BN5" i="17"/>
  <c r="CH5" i="17" s="1"/>
  <c r="I25" i="18" s="1"/>
  <c r="P25" i="18" s="1"/>
  <c r="BN7" i="17"/>
  <c r="BO10" i="17" s="1"/>
  <c r="BP13" i="17" s="1"/>
  <c r="CH4" i="17"/>
  <c r="CU7" i="17"/>
  <c r="EO4" i="17"/>
  <c r="EO21" i="17" s="1"/>
  <c r="EO22" i="17" s="1"/>
  <c r="DF4" i="17"/>
  <c r="DG7" i="17" s="1"/>
  <c r="BY7" i="17"/>
  <c r="I83" i="18" s="1"/>
  <c r="CA7" i="17"/>
  <c r="CB10" i="17" s="1"/>
  <c r="CC13" i="17" s="1"/>
  <c r="BQ7" i="17"/>
  <c r="BR10" i="17" s="1"/>
  <c r="BS13" i="17" s="1"/>
  <c r="I101" i="18" s="1"/>
  <c r="BP7" i="17"/>
  <c r="I74" i="18" s="1"/>
  <c r="BP5" i="17"/>
  <c r="EN4" i="17"/>
  <c r="EN21" i="17" s="1"/>
  <c r="EN22" i="17" s="1"/>
  <c r="CW7" i="17"/>
  <c r="H85" i="18"/>
  <c r="H79" i="18"/>
  <c r="ED20" i="17"/>
  <c r="ED21" i="17"/>
  <c r="ET6" i="17"/>
  <c r="ET23" i="17" s="1"/>
  <c r="ES20" i="17"/>
  <c r="EY20" i="17" s="1"/>
  <c r="EJ7" i="17"/>
  <c r="EI21" i="17"/>
  <c r="EI22" i="17" s="1"/>
  <c r="P42" i="18"/>
  <c r="C71" i="15"/>
  <c r="EM7" i="17"/>
  <c r="EM24" i="17" s="1"/>
  <c r="EL21" i="17"/>
  <c r="EL22" i="17" s="1"/>
  <c r="EB20" i="17"/>
  <c r="EW20" i="17" s="1"/>
  <c r="EW3" i="17"/>
  <c r="EQ7" i="17"/>
  <c r="EP21" i="17"/>
  <c r="EI7" i="17"/>
  <c r="EH21" i="17"/>
  <c r="EH22" i="17" s="1"/>
  <c r="ET22" i="17"/>
  <c r="P34" i="18"/>
  <c r="C70" i="15"/>
  <c r="DB5" i="17"/>
  <c r="H78" i="18"/>
  <c r="H86" i="18"/>
  <c r="H77" i="18"/>
  <c r="H73" i="18"/>
  <c r="I71" i="18"/>
  <c r="H72" i="18"/>
  <c r="H75" i="18"/>
  <c r="H74" i="18"/>
  <c r="H71" i="18"/>
  <c r="H80" i="18"/>
  <c r="I73" i="18"/>
  <c r="I89" i="18"/>
  <c r="H87" i="18"/>
  <c r="H76" i="18"/>
  <c r="H81" i="18"/>
  <c r="H89" i="18"/>
  <c r="I87" i="18"/>
  <c r="I76" i="18"/>
  <c r="I88" i="18"/>
  <c r="I79" i="18"/>
  <c r="BU10" i="17"/>
  <c r="BV13" i="17" s="1"/>
  <c r="I152" i="18" s="1"/>
  <c r="I78" i="18"/>
  <c r="BT10" i="17"/>
  <c r="BU13" i="17" s="1"/>
  <c r="I151" i="18" s="1"/>
  <c r="I77" i="18"/>
  <c r="I75" i="18"/>
  <c r="I81" i="18"/>
  <c r="I82" i="18"/>
  <c r="I86" i="18"/>
  <c r="I80" i="18"/>
  <c r="CE9" i="17"/>
  <c r="H137" i="18" s="1"/>
  <c r="H88" i="18"/>
  <c r="P87" i="18"/>
  <c r="DL5" i="17"/>
  <c r="DA9" i="17"/>
  <c r="DO3" i="17"/>
  <c r="DC6" i="17"/>
  <c r="DD5" i="17"/>
  <c r="EQ6" i="17"/>
  <c r="EQ23" i="17" s="1"/>
  <c r="EP5" i="17"/>
  <c r="EC7" i="17"/>
  <c r="ED5" i="17"/>
  <c r="EL5" i="17"/>
  <c r="EM6" i="17"/>
  <c r="EM23" i="17" s="1"/>
  <c r="ER6" i="17"/>
  <c r="ER23" i="17" s="1"/>
  <c r="ES6" i="17"/>
  <c r="ES23" i="17" s="1"/>
  <c r="EP6" i="17"/>
  <c r="EP23" i="17" s="1"/>
  <c r="EY3" i="17"/>
  <c r="EO6" i="17"/>
  <c r="EO23" i="17" s="1"/>
  <c r="ED6" i="17"/>
  <c r="EL6" i="17"/>
  <c r="EL23" i="17" s="1"/>
  <c r="EH5" i="17"/>
  <c r="EI6" i="17"/>
  <c r="EI23" i="17" s="1"/>
  <c r="EK6" i="17"/>
  <c r="EK23" i="17" s="1"/>
  <c r="EC6" i="17"/>
  <c r="EC23" i="17" s="1"/>
  <c r="EB5" i="17"/>
  <c r="EN6" i="17"/>
  <c r="EN23" i="17" s="1"/>
  <c r="EX3" i="17"/>
  <c r="EI5" i="17"/>
  <c r="EJ6" i="17"/>
  <c r="EJ23" i="17" s="1"/>
  <c r="ET5" i="17"/>
  <c r="DC9" i="17"/>
  <c r="DB10" i="17"/>
  <c r="DE10" i="17"/>
  <c r="CZ9" i="17"/>
  <c r="DB9" i="17"/>
  <c r="CW9" i="17"/>
  <c r="CY9" i="17"/>
  <c r="CV9" i="17"/>
  <c r="CX9" i="17"/>
  <c r="CU9" i="17"/>
  <c r="EB6" i="17"/>
  <c r="EB23" i="17" s="1"/>
  <c r="EV3" i="17"/>
  <c r="BN10" i="17"/>
  <c r="BO13" i="17" s="1"/>
  <c r="CT5" i="17"/>
  <c r="CX5" i="17"/>
  <c r="DJ5" i="17"/>
  <c r="DT3" i="17"/>
  <c r="BU9" i="17"/>
  <c r="H127" i="18" s="1"/>
  <c r="BT8" i="17"/>
  <c r="BO9" i="17"/>
  <c r="H121" i="18" s="1"/>
  <c r="BZ9" i="17"/>
  <c r="H132" i="18" s="1"/>
  <c r="BR9" i="17"/>
  <c r="BS12" i="17" s="1"/>
  <c r="H101" i="18" s="1"/>
  <c r="CZ5" i="17"/>
  <c r="DC5" i="17"/>
  <c r="DA5" i="17"/>
  <c r="BQ9" i="17"/>
  <c r="H123" i="18" s="1"/>
  <c r="CA10" i="17"/>
  <c r="CB13" i="17" s="1"/>
  <c r="BW9" i="17"/>
  <c r="H129" i="18" s="1"/>
  <c r="CC9" i="17"/>
  <c r="H135" i="18" s="1"/>
  <c r="DE5" i="17"/>
  <c r="DP3" i="17"/>
  <c r="DF6" i="17"/>
  <c r="O83" i="18" s="1"/>
  <c r="DL9" i="17"/>
  <c r="O137" i="18" s="1"/>
  <c r="DN3" i="17"/>
  <c r="CD9" i="17"/>
  <c r="CE12" i="17" s="1"/>
  <c r="H113" i="18" s="1"/>
  <c r="BT9" i="17"/>
  <c r="H126" i="18" s="1"/>
  <c r="BS8" i="17"/>
  <c r="DA8" i="17"/>
  <c r="BS9" i="17"/>
  <c r="H125" i="18" s="1"/>
  <c r="DI6" i="17"/>
  <c r="O86" i="18" s="1"/>
  <c r="DH5" i="17"/>
  <c r="CJ6" i="17"/>
  <c r="CA9" i="17"/>
  <c r="H133" i="18" s="1"/>
  <c r="BZ8" i="17"/>
  <c r="CB9" i="17"/>
  <c r="H134" i="18" s="1"/>
  <c r="DF7" i="17"/>
  <c r="DJ6" i="17"/>
  <c r="O87" i="18" s="1"/>
  <c r="BX9" i="17"/>
  <c r="H130" i="18" s="1"/>
  <c r="BY9" i="17"/>
  <c r="H131" i="18" s="1"/>
  <c r="CI6" i="17"/>
  <c r="DF9" i="17"/>
  <c r="O131" i="18" s="1"/>
  <c r="DG6" i="17"/>
  <c r="DH6" i="17"/>
  <c r="O85" i="18" s="1"/>
  <c r="DQ3" i="17"/>
  <c r="BN9" i="17"/>
  <c r="H120" i="18" s="1"/>
  <c r="BM8" i="17"/>
  <c r="CH6" i="17"/>
  <c r="CV5" i="17"/>
  <c r="CM6" i="17"/>
  <c r="BP9" i="17"/>
  <c r="H122" i="18" s="1"/>
  <c r="BV9" i="17"/>
  <c r="BW12" i="17" s="1"/>
  <c r="H105" i="18" s="1"/>
  <c r="CM5" i="17" l="1"/>
  <c r="ER7" i="17"/>
  <c r="ES10" i="17" s="1"/>
  <c r="EJ5" i="17"/>
  <c r="EJ21" i="17"/>
  <c r="EJ22" i="17" s="1"/>
  <c r="ES7" i="17"/>
  <c r="ES24" i="17" s="1"/>
  <c r="ES25" i="17" s="1"/>
  <c r="BU8" i="17"/>
  <c r="ER5" i="17"/>
  <c r="DH7" i="17"/>
  <c r="P85" i="18" s="1"/>
  <c r="EQ5" i="17"/>
  <c r="CD10" i="17"/>
  <c r="CE13" i="17" s="1"/>
  <c r="I113" i="18" s="1"/>
  <c r="O234" i="18" s="1"/>
  <c r="P84" i="18"/>
  <c r="BS10" i="17"/>
  <c r="BT13" i="17" s="1"/>
  <c r="I150" i="18" s="1"/>
  <c r="DK5" i="17"/>
  <c r="EV4" i="17"/>
  <c r="ET7" i="17"/>
  <c r="ET24" i="17" s="1"/>
  <c r="ET25" i="17" s="1"/>
  <c r="DD10" i="17"/>
  <c r="P129" i="18" s="1"/>
  <c r="P88" i="18"/>
  <c r="CE10" i="17"/>
  <c r="I137" i="18" s="1"/>
  <c r="CY5" i="17"/>
  <c r="P76" i="18"/>
  <c r="BV8" i="17"/>
  <c r="CC10" i="17"/>
  <c r="CD13" i="17" s="1"/>
  <c r="I160" i="18" s="1"/>
  <c r="CI5" i="17"/>
  <c r="BX8" i="17"/>
  <c r="EM5" i="17"/>
  <c r="ES5" i="17"/>
  <c r="P86" i="18"/>
  <c r="DI5" i="17"/>
  <c r="DK8" i="17"/>
  <c r="I110" i="18"/>
  <c r="CZ10" i="17"/>
  <c r="P125" i="18" s="1"/>
  <c r="EN7" i="17"/>
  <c r="EN8" i="17" s="1"/>
  <c r="EL7" i="17"/>
  <c r="EM10" i="17" s="1"/>
  <c r="I111" i="18"/>
  <c r="I99" i="18"/>
  <c r="P83" i="18"/>
  <c r="CY8" i="17"/>
  <c r="DF5" i="17"/>
  <c r="DQ4" i="17"/>
  <c r="O222" i="18"/>
  <c r="DF13" i="17"/>
  <c r="DG16" i="17" s="1"/>
  <c r="P130" i="18"/>
  <c r="EC5" i="17"/>
  <c r="EW5" i="17" s="1"/>
  <c r="DD13" i="17"/>
  <c r="DE16" i="17" s="1"/>
  <c r="P128" i="18"/>
  <c r="DL13" i="17"/>
  <c r="P136" i="18"/>
  <c r="DK13" i="17"/>
  <c r="P160" i="18" s="1"/>
  <c r="P135" i="18"/>
  <c r="DP4" i="17"/>
  <c r="DD12" i="17"/>
  <c r="DE15" i="17" s="1"/>
  <c r="O178" i="18" s="1"/>
  <c r="O128" i="18"/>
  <c r="DC12" i="17"/>
  <c r="DD15" i="17" s="1"/>
  <c r="O127" i="18"/>
  <c r="P72" i="18"/>
  <c r="CU5" i="17"/>
  <c r="DO5" i="17" s="1"/>
  <c r="Q25" i="18" s="1"/>
  <c r="DC13" i="17"/>
  <c r="DD16" i="17" s="1"/>
  <c r="P127" i="18"/>
  <c r="DB13" i="17"/>
  <c r="DC16" i="17" s="1"/>
  <c r="P176" i="18" s="1"/>
  <c r="P126" i="18"/>
  <c r="DB12" i="17"/>
  <c r="DC15" i="17" s="1"/>
  <c r="O126" i="18"/>
  <c r="DA12" i="17"/>
  <c r="DB15" i="17" s="1"/>
  <c r="O175" i="18" s="1"/>
  <c r="O125" i="18"/>
  <c r="P74" i="18"/>
  <c r="CZ12" i="17"/>
  <c r="DA15" i="17" s="1"/>
  <c r="O174" i="18" s="1"/>
  <c r="O124" i="18"/>
  <c r="CY12" i="17"/>
  <c r="CZ15" i="17" s="1"/>
  <c r="O173" i="18" s="1"/>
  <c r="O123" i="18"/>
  <c r="CX12" i="17"/>
  <c r="CY15" i="17" s="1"/>
  <c r="O172" i="18" s="1"/>
  <c r="O122" i="18"/>
  <c r="CW12" i="17"/>
  <c r="CX15" i="17" s="1"/>
  <c r="O171" i="18" s="1"/>
  <c r="O121" i="18"/>
  <c r="CV12" i="17"/>
  <c r="CW15" i="17" s="1"/>
  <c r="O170" i="18" s="1"/>
  <c r="O120" i="18"/>
  <c r="EC21" i="17"/>
  <c r="EC22" i="17" s="1"/>
  <c r="CA8" i="17"/>
  <c r="CJ8" i="17" s="1"/>
  <c r="I97" i="18"/>
  <c r="DF10" i="17"/>
  <c r="DE8" i="17"/>
  <c r="BK4" i="17"/>
  <c r="DZ4" i="17" s="1"/>
  <c r="DZ21" i="17" s="1"/>
  <c r="BZ10" i="17"/>
  <c r="CA13" i="17" s="1"/>
  <c r="I109" i="18" s="1"/>
  <c r="BW8" i="17"/>
  <c r="I105" i="18"/>
  <c r="O226" i="18" s="1"/>
  <c r="BO8" i="17"/>
  <c r="I98" i="18"/>
  <c r="EK5" i="17"/>
  <c r="I149" i="18"/>
  <c r="I130" i="18"/>
  <c r="I159" i="18"/>
  <c r="I121" i="18"/>
  <c r="I153" i="18"/>
  <c r="I120" i="18"/>
  <c r="H161" i="18"/>
  <c r="I127" i="18"/>
  <c r="I145" i="18"/>
  <c r="K4" i="18"/>
  <c r="R4" i="18" s="1"/>
  <c r="I158" i="18"/>
  <c r="I124" i="18"/>
  <c r="H136" i="18"/>
  <c r="I133" i="18"/>
  <c r="I122" i="18"/>
  <c r="H128" i="18"/>
  <c r="H124" i="18"/>
  <c r="H153" i="18"/>
  <c r="I126" i="18"/>
  <c r="I128" i="18"/>
  <c r="I107" i="18"/>
  <c r="I131" i="18"/>
  <c r="I134" i="18"/>
  <c r="I129" i="18"/>
  <c r="H149" i="18"/>
  <c r="I146" i="18"/>
  <c r="I147" i="18"/>
  <c r="CY10" i="17"/>
  <c r="CS5" i="17"/>
  <c r="DN5" i="17" s="1"/>
  <c r="Q17" i="18" s="1"/>
  <c r="DN4" i="17"/>
  <c r="CU10" i="17"/>
  <c r="EA5" i="17"/>
  <c r="EV5" i="17" s="1"/>
  <c r="DO4" i="17"/>
  <c r="CW10" i="17"/>
  <c r="EY4" i="17"/>
  <c r="EV21" i="17"/>
  <c r="EB7" i="17"/>
  <c r="EB24" i="17" s="1"/>
  <c r="EB25" i="17" s="1"/>
  <c r="EN5" i="17"/>
  <c r="CW5" i="17"/>
  <c r="CM7" i="17"/>
  <c r="BK6" i="17" s="1"/>
  <c r="CJ7" i="17"/>
  <c r="DT4" i="17"/>
  <c r="CH7" i="17"/>
  <c r="CX10" i="17"/>
  <c r="EW4" i="17"/>
  <c r="I72" i="18"/>
  <c r="DH10" i="17"/>
  <c r="BN8" i="17"/>
  <c r="CH8" i="17" s="1"/>
  <c r="I26" i="18" s="1"/>
  <c r="I85" i="18"/>
  <c r="I43" i="18" s="1"/>
  <c r="P43" i="18" s="1"/>
  <c r="BQ8" i="17"/>
  <c r="CV10" i="17"/>
  <c r="EP7" i="17"/>
  <c r="EP8" i="17" s="1"/>
  <c r="BQ10" i="17"/>
  <c r="EO7" i="17"/>
  <c r="EO24" i="17" s="1"/>
  <c r="EO25" i="17" s="1"/>
  <c r="EO5" i="17"/>
  <c r="BP8" i="17"/>
  <c r="BY8" i="17"/>
  <c r="EN10" i="17"/>
  <c r="EN27" i="17" s="1"/>
  <c r="EX4" i="17"/>
  <c r="CI7" i="17"/>
  <c r="EV20" i="17"/>
  <c r="EX21" i="17"/>
  <c r="EY21" i="17"/>
  <c r="ES22" i="17"/>
  <c r="EY23" i="17"/>
  <c r="EL10" i="17"/>
  <c r="EK24" i="17"/>
  <c r="EK25" i="17" s="1"/>
  <c r="EW23" i="17"/>
  <c r="EK10" i="17"/>
  <c r="EJ24" i="17"/>
  <c r="EJ25" i="17" s="1"/>
  <c r="EM25" i="17"/>
  <c r="EX23" i="17"/>
  <c r="EP22" i="17"/>
  <c r="ER10" i="17"/>
  <c r="EQ24" i="17"/>
  <c r="EQ25" i="17" s="1"/>
  <c r="ED24" i="17"/>
  <c r="ED23" i="17"/>
  <c r="ED10" i="17"/>
  <c r="EC24" i="17"/>
  <c r="ED22" i="17"/>
  <c r="EX20" i="17"/>
  <c r="EJ10" i="17"/>
  <c r="EI24" i="17"/>
  <c r="EI25" i="17" s="1"/>
  <c r="EB22" i="17"/>
  <c r="DL11" i="17"/>
  <c r="DD9" i="17"/>
  <c r="O80" i="18"/>
  <c r="BY16" i="17"/>
  <c r="I106" i="18"/>
  <c r="P112" i="18"/>
  <c r="BV16" i="17"/>
  <c r="I103" i="18"/>
  <c r="I102" i="18"/>
  <c r="O84" i="18"/>
  <c r="I112" i="18"/>
  <c r="CA16" i="17"/>
  <c r="I108" i="18"/>
  <c r="BW16" i="17"/>
  <c r="I104" i="18"/>
  <c r="DC8" i="17"/>
  <c r="DI10" i="17"/>
  <c r="DG10" i="17"/>
  <c r="BL6" i="17"/>
  <c r="H70" i="18" s="1"/>
  <c r="EO9" i="17"/>
  <c r="EO26" i="17" s="1"/>
  <c r="EC8" i="17"/>
  <c r="ED9" i="17"/>
  <c r="EQ9" i="17"/>
  <c r="EQ26" i="17" s="1"/>
  <c r="ES9" i="17"/>
  <c r="ES26" i="17" s="1"/>
  <c r="EK8" i="17"/>
  <c r="EL9" i="17"/>
  <c r="EL26" i="17" s="1"/>
  <c r="ED8" i="17"/>
  <c r="ER9" i="17"/>
  <c r="ER26" i="17" s="1"/>
  <c r="EQ8" i="17"/>
  <c r="EK9" i="17"/>
  <c r="EK26" i="17" s="1"/>
  <c r="EJ8" i="17"/>
  <c r="EJ9" i="17"/>
  <c r="EJ26" i="17" s="1"/>
  <c r="EI8" i="17"/>
  <c r="EM9" i="17"/>
  <c r="EM26" i="17" s="1"/>
  <c r="EP9" i="17"/>
  <c r="EP26" i="17" s="1"/>
  <c r="EY6" i="17"/>
  <c r="EN9" i="17"/>
  <c r="EN26" i="17" s="1"/>
  <c r="EM8" i="17"/>
  <c r="EX6" i="17"/>
  <c r="ET9" i="17"/>
  <c r="EC9" i="17"/>
  <c r="EC26" i="17" s="1"/>
  <c r="EW6" i="17"/>
  <c r="CR3" i="17"/>
  <c r="O69" i="18" s="1"/>
  <c r="BQ16" i="17"/>
  <c r="BT16" i="17"/>
  <c r="BX15" i="17"/>
  <c r="H178" i="18" s="1"/>
  <c r="BZ16" i="17"/>
  <c r="I180" i="18" s="1"/>
  <c r="CD16" i="17"/>
  <c r="CC16" i="17"/>
  <c r="BT15" i="17"/>
  <c r="H174" i="18" s="1"/>
  <c r="BP16" i="17"/>
  <c r="BX16" i="17"/>
  <c r="I178" i="18" s="1"/>
  <c r="BR16" i="17"/>
  <c r="DO7" i="17"/>
  <c r="DT7" i="17"/>
  <c r="BR11" i="17"/>
  <c r="CU8" i="17"/>
  <c r="CW8" i="17"/>
  <c r="BW14" i="17"/>
  <c r="DP6" i="17"/>
  <c r="BP11" i="17"/>
  <c r="BQ12" i="17"/>
  <c r="H147" i="18" s="1"/>
  <c r="CZ8" i="17"/>
  <c r="DI9" i="17"/>
  <c r="O134" i="18" s="1"/>
  <c r="DG12" i="17"/>
  <c r="CB11" i="17"/>
  <c r="CC12" i="17"/>
  <c r="H159" i="18" s="1"/>
  <c r="CF3" i="17"/>
  <c r="BO11" i="17"/>
  <c r="BP12" i="17"/>
  <c r="H146" i="18" s="1"/>
  <c r="CM9" i="17"/>
  <c r="BV11" i="17"/>
  <c r="BO12" i="17"/>
  <c r="BN11" i="17"/>
  <c r="BY11" i="17"/>
  <c r="BZ12" i="17"/>
  <c r="DJ9" i="17"/>
  <c r="O135" i="18" s="1"/>
  <c r="DI8" i="17"/>
  <c r="DB11" i="17"/>
  <c r="CX8" i="17"/>
  <c r="DG9" i="17"/>
  <c r="O132" i="18" s="1"/>
  <c r="DF8" i="17"/>
  <c r="CD12" i="17"/>
  <c r="H160" i="18" s="1"/>
  <c r="BW11" i="17"/>
  <c r="BX12" i="17"/>
  <c r="DB8" i="17"/>
  <c r="DH9" i="17"/>
  <c r="O133" i="18" s="1"/>
  <c r="DG8" i="17"/>
  <c r="DQ6" i="17"/>
  <c r="BY12" i="17"/>
  <c r="H155" i="18" s="1"/>
  <c r="O252" i="18" s="1"/>
  <c r="CI9" i="17"/>
  <c r="BX11" i="17"/>
  <c r="DO6" i="17"/>
  <c r="CT8" i="17"/>
  <c r="BS14" i="17"/>
  <c r="CA12" i="17"/>
  <c r="H157" i="18" s="1"/>
  <c r="CJ9" i="17"/>
  <c r="DK9" i="17"/>
  <c r="O136" i="18" s="1"/>
  <c r="DJ8" i="17"/>
  <c r="CA11" i="17"/>
  <c r="CB12" i="17"/>
  <c r="H158" i="18" s="1"/>
  <c r="DT6" i="17"/>
  <c r="CV8" i="17"/>
  <c r="BT12" i="17"/>
  <c r="H150" i="18" s="1"/>
  <c r="BT11" i="17"/>
  <c r="BU12" i="17"/>
  <c r="H151" i="18" s="1"/>
  <c r="O248" i="18" s="1"/>
  <c r="BR12" i="17"/>
  <c r="H148" i="18" s="1"/>
  <c r="DE9" i="17"/>
  <c r="O130" i="18" s="1"/>
  <c r="DD8" i="17"/>
  <c r="BU11" i="17"/>
  <c r="BV12" i="17"/>
  <c r="H152" i="18" s="1"/>
  <c r="O249" i="18" s="1"/>
  <c r="ER8" i="17" l="1"/>
  <c r="ER24" i="17"/>
  <c r="ER25" i="17" s="1"/>
  <c r="DQ7" i="17"/>
  <c r="ET10" i="17"/>
  <c r="ET27" i="17" s="1"/>
  <c r="ES8" i="17"/>
  <c r="DP7" i="17"/>
  <c r="DH8" i="17"/>
  <c r="DP8" i="17" s="1"/>
  <c r="O247" i="18"/>
  <c r="DE13" i="17"/>
  <c r="DF16" i="17" s="1"/>
  <c r="P179" i="18" s="1"/>
  <c r="I136" i="18"/>
  <c r="CE14" i="17"/>
  <c r="CD11" i="17"/>
  <c r="EO8" i="17"/>
  <c r="I161" i="18"/>
  <c r="O258" i="18" s="1"/>
  <c r="BS11" i="17"/>
  <c r="I125" i="18"/>
  <c r="BU16" i="17"/>
  <c r="BV19" i="17" s="1"/>
  <c r="I200" i="18" s="1"/>
  <c r="DQ5" i="17"/>
  <c r="O257" i="18"/>
  <c r="I135" i="18"/>
  <c r="DP5" i="17"/>
  <c r="ET8" i="17"/>
  <c r="O256" i="18"/>
  <c r="BZ11" i="17"/>
  <c r="DT5" i="17"/>
  <c r="EO10" i="17"/>
  <c r="EO27" i="17" s="1"/>
  <c r="EO28" i="17" s="1"/>
  <c r="CI8" i="17"/>
  <c r="CE11" i="17"/>
  <c r="CC11" i="17"/>
  <c r="CJ10" i="17"/>
  <c r="EN24" i="17"/>
  <c r="EN25" i="17" s="1"/>
  <c r="BL7" i="17"/>
  <c r="BM10" i="17" s="1"/>
  <c r="I119" i="18" s="1"/>
  <c r="O255" i="18"/>
  <c r="CI13" i="17"/>
  <c r="CE16" i="17"/>
  <c r="I185" i="18" s="1"/>
  <c r="CR4" i="17"/>
  <c r="DM4" i="17" s="1"/>
  <c r="DA13" i="17"/>
  <c r="DA14" i="17" s="1"/>
  <c r="CF4" i="17"/>
  <c r="O244" i="18"/>
  <c r="EL8" i="17"/>
  <c r="EL24" i="17"/>
  <c r="EL25" i="17" s="1"/>
  <c r="BK5" i="17"/>
  <c r="CF5" i="17" s="1"/>
  <c r="CL5" i="17" s="1"/>
  <c r="DC14" i="17"/>
  <c r="CZ11" i="17"/>
  <c r="EC10" i="17"/>
  <c r="EC27" i="17" s="1"/>
  <c r="EC28" i="17" s="1"/>
  <c r="EX7" i="17"/>
  <c r="DL16" i="17"/>
  <c r="P185" i="18" s="1"/>
  <c r="P107" i="18"/>
  <c r="P155" i="18"/>
  <c r="DJ13" i="17"/>
  <c r="DK16" i="17" s="1"/>
  <c r="P134" i="18"/>
  <c r="DG13" i="17"/>
  <c r="DH16" i="17" s="1"/>
  <c r="P131" i="18"/>
  <c r="P105" i="18"/>
  <c r="P153" i="18"/>
  <c r="O243" i="18"/>
  <c r="DB16" i="17"/>
  <c r="DC19" i="17" s="1"/>
  <c r="P200" i="18" s="1"/>
  <c r="DE12" i="17"/>
  <c r="DF15" i="17" s="1"/>
  <c r="O129" i="18"/>
  <c r="DI13" i="17"/>
  <c r="P133" i="18"/>
  <c r="DH19" i="17"/>
  <c r="P205" i="18" s="1"/>
  <c r="P180" i="18"/>
  <c r="DH13" i="17"/>
  <c r="P132" i="18"/>
  <c r="O105" i="18"/>
  <c r="P226" i="18" s="1"/>
  <c r="O153" i="18"/>
  <c r="P250" i="18" s="1"/>
  <c r="DF19" i="17"/>
  <c r="P203" i="18" s="1"/>
  <c r="P178" i="18"/>
  <c r="EW21" i="17"/>
  <c r="P113" i="18"/>
  <c r="P161" i="18"/>
  <c r="O108" i="18"/>
  <c r="O156" i="18"/>
  <c r="EW22" i="17"/>
  <c r="EX5" i="17"/>
  <c r="O246" i="18"/>
  <c r="O250" i="18"/>
  <c r="P106" i="18"/>
  <c r="DE18" i="17"/>
  <c r="O202" i="18" s="1"/>
  <c r="O177" i="18"/>
  <c r="O104" i="18"/>
  <c r="O152" i="18"/>
  <c r="DE19" i="17"/>
  <c r="P202" i="18" s="1"/>
  <c r="P177" i="18"/>
  <c r="P104" i="18"/>
  <c r="P152" i="18"/>
  <c r="P103" i="18"/>
  <c r="P151" i="18"/>
  <c r="DD18" i="17"/>
  <c r="O201" i="18" s="1"/>
  <c r="O176" i="18"/>
  <c r="O103" i="18"/>
  <c r="O151" i="18"/>
  <c r="P102" i="18"/>
  <c r="O102" i="18"/>
  <c r="O150" i="18"/>
  <c r="CX13" i="17"/>
  <c r="CX14" i="17" s="1"/>
  <c r="P122" i="18"/>
  <c r="CY13" i="17"/>
  <c r="CY14" i="17" s="1"/>
  <c r="P123" i="18"/>
  <c r="CZ13" i="17"/>
  <c r="DA16" i="17" s="1"/>
  <c r="P124" i="18"/>
  <c r="O100" i="18"/>
  <c r="O148" i="18"/>
  <c r="O99" i="18"/>
  <c r="O147" i="18"/>
  <c r="O101" i="18"/>
  <c r="O149" i="18"/>
  <c r="CW13" i="17"/>
  <c r="CX16" i="17" s="1"/>
  <c r="P121" i="18"/>
  <c r="CV13" i="17"/>
  <c r="CW16" i="17" s="1"/>
  <c r="P120" i="18"/>
  <c r="O97" i="18"/>
  <c r="O145" i="18"/>
  <c r="O98" i="18"/>
  <c r="O146" i="18"/>
  <c r="Q43" i="18"/>
  <c r="Q35" i="18"/>
  <c r="BK7" i="17"/>
  <c r="BL10" i="17" s="1"/>
  <c r="I118" i="18" s="1"/>
  <c r="DF11" i="17"/>
  <c r="CM8" i="17"/>
  <c r="CI10" i="17"/>
  <c r="CB16" i="17"/>
  <c r="I132" i="18"/>
  <c r="CJ13" i="17"/>
  <c r="I157" i="18"/>
  <c r="O254" i="18" s="1"/>
  <c r="EY5" i="17"/>
  <c r="C139" i="19"/>
  <c r="CB19" i="17"/>
  <c r="I206" i="18" s="1"/>
  <c r="I181" i="18"/>
  <c r="BW19" i="17"/>
  <c r="I201" i="18" s="1"/>
  <c r="I176" i="18"/>
  <c r="BZ19" i="17"/>
  <c r="I204" i="18" s="1"/>
  <c r="I179" i="18"/>
  <c r="H69" i="18"/>
  <c r="I7" i="18" s="1"/>
  <c r="P7" i="18" s="1"/>
  <c r="H93" i="18"/>
  <c r="G138" i="19"/>
  <c r="I70" i="18"/>
  <c r="I69" i="18"/>
  <c r="H106" i="18"/>
  <c r="O227" i="18" s="1"/>
  <c r="H154" i="18"/>
  <c r="O251" i="18" s="1"/>
  <c r="BS19" i="17"/>
  <c r="I197" i="18" s="1"/>
  <c r="I172" i="18"/>
  <c r="CD19" i="17"/>
  <c r="I208" i="18" s="1"/>
  <c r="I183" i="18"/>
  <c r="I35" i="18"/>
  <c r="P35" i="18" s="1"/>
  <c r="H108" i="18"/>
  <c r="O229" i="18" s="1"/>
  <c r="H156" i="18"/>
  <c r="O253" i="18" s="1"/>
  <c r="BU19" i="17"/>
  <c r="I199" i="18" s="1"/>
  <c r="I174" i="18"/>
  <c r="BX19" i="17"/>
  <c r="I202" i="18" s="1"/>
  <c r="I177" i="18"/>
  <c r="BR13" i="17"/>
  <c r="BR14" i="17" s="1"/>
  <c r="I123" i="18"/>
  <c r="H97" i="18"/>
  <c r="O218" i="18" s="1"/>
  <c r="H145" i="18"/>
  <c r="BQ19" i="17"/>
  <c r="I195" i="18" s="1"/>
  <c r="I170" i="18"/>
  <c r="CE19" i="17"/>
  <c r="I209" i="18" s="1"/>
  <c r="I184" i="18"/>
  <c r="BR19" i="17"/>
  <c r="I196" i="18" s="1"/>
  <c r="I171" i="18"/>
  <c r="CX11" i="17"/>
  <c r="BQ11" i="17"/>
  <c r="CM11" i="17" s="1"/>
  <c r="EW7" i="17"/>
  <c r="EW24" i="17"/>
  <c r="EO13" i="17"/>
  <c r="EO30" i="17" s="1"/>
  <c r="CM10" i="17"/>
  <c r="BK9" i="17" s="1"/>
  <c r="H117" i="18" s="1"/>
  <c r="EB8" i="17"/>
  <c r="EW8" i="17" s="1"/>
  <c r="I100" i="18"/>
  <c r="CV11" i="17"/>
  <c r="DT10" i="17"/>
  <c r="CR10" i="17" s="1"/>
  <c r="EQ10" i="17"/>
  <c r="ER13" i="17" s="1"/>
  <c r="ER30" i="17" s="1"/>
  <c r="EC25" i="17"/>
  <c r="EW25" i="17" s="1"/>
  <c r="EP24" i="17"/>
  <c r="EP25" i="17" s="1"/>
  <c r="EP10" i="17"/>
  <c r="EP11" i="17" s="1"/>
  <c r="EY7" i="17"/>
  <c r="EX22" i="17"/>
  <c r="EN28" i="17"/>
  <c r="EY22" i="17"/>
  <c r="EV22" i="17"/>
  <c r="EM27" i="17"/>
  <c r="EM28" i="17" s="1"/>
  <c r="EN13" i="17"/>
  <c r="EN30" i="17" s="1"/>
  <c r="ET13" i="17"/>
  <c r="ET30" i="17" s="1"/>
  <c r="ES27" i="17"/>
  <c r="ES28" i="17" s="1"/>
  <c r="ED27" i="17"/>
  <c r="EL13" i="17"/>
  <c r="EL30" i="17" s="1"/>
  <c r="EK27" i="17"/>
  <c r="EK28" i="17" s="1"/>
  <c r="EM13" i="17"/>
  <c r="EM30" i="17" s="1"/>
  <c r="EL27" i="17"/>
  <c r="EL28" i="17" s="1"/>
  <c r="ET26" i="17"/>
  <c r="ED26" i="17"/>
  <c r="DZ20" i="17"/>
  <c r="EK13" i="17"/>
  <c r="EK30" i="17" s="1"/>
  <c r="EJ27" i="17"/>
  <c r="EJ28" i="17" s="1"/>
  <c r="ED25" i="17"/>
  <c r="ES13" i="17"/>
  <c r="ES30" i="17" s="1"/>
  <c r="ER27" i="17"/>
  <c r="ER28" i="17" s="1"/>
  <c r="DD11" i="17"/>
  <c r="BV15" i="17"/>
  <c r="H103" i="18"/>
  <c r="O224" i="18" s="1"/>
  <c r="BR15" i="17"/>
  <c r="H99" i="18"/>
  <c r="O220" i="18" s="1"/>
  <c r="BU15" i="17"/>
  <c r="H102" i="18"/>
  <c r="O223" i="18" s="1"/>
  <c r="BS15" i="17"/>
  <c r="H100" i="18"/>
  <c r="BQ15" i="17"/>
  <c r="H98" i="18"/>
  <c r="O219" i="18" s="1"/>
  <c r="BW15" i="17"/>
  <c r="H104" i="18"/>
  <c r="O225" i="18" s="1"/>
  <c r="CE15" i="17"/>
  <c r="H112" i="18"/>
  <c r="O233" i="18" s="1"/>
  <c r="CD15" i="17"/>
  <c r="H111" i="18"/>
  <c r="O232" i="18" s="1"/>
  <c r="CC15" i="17"/>
  <c r="H110" i="18"/>
  <c r="O231" i="18" s="1"/>
  <c r="CB15" i="17"/>
  <c r="H109" i="18"/>
  <c r="O230" i="18" s="1"/>
  <c r="BZ15" i="17"/>
  <c r="H107" i="18"/>
  <c r="O228" i="18" s="1"/>
  <c r="DP10" i="17"/>
  <c r="DQ10" i="17"/>
  <c r="DD17" i="17"/>
  <c r="EP12" i="17"/>
  <c r="EY9" i="17"/>
  <c r="EN11" i="17"/>
  <c r="EO12" i="17"/>
  <c r="EO29" i="17" s="1"/>
  <c r="EQ12" i="17"/>
  <c r="EN12" i="17"/>
  <c r="EM11" i="17"/>
  <c r="EX9" i="17"/>
  <c r="EK12" i="17"/>
  <c r="EJ11" i="17"/>
  <c r="ED11" i="17"/>
  <c r="ER11" i="17"/>
  <c r="ES12" i="17"/>
  <c r="EL11" i="17"/>
  <c r="EM12" i="17"/>
  <c r="EM29" i="17" s="1"/>
  <c r="ES11" i="17"/>
  <c r="ET12" i="17"/>
  <c r="DZ5" i="17"/>
  <c r="EA6" i="17"/>
  <c r="EA23" i="17" s="1"/>
  <c r="EK11" i="17"/>
  <c r="EL12" i="17"/>
  <c r="ER12" i="17"/>
  <c r="EA7" i="17"/>
  <c r="EA24" i="17" s="1"/>
  <c r="EV24" i="17" s="1"/>
  <c r="DB18" i="17"/>
  <c r="O199" i="18" s="1"/>
  <c r="DA18" i="17"/>
  <c r="O198" i="18" s="1"/>
  <c r="CZ18" i="17"/>
  <c r="DD19" i="17"/>
  <c r="DC17" i="17"/>
  <c r="DE17" i="17"/>
  <c r="DF18" i="17"/>
  <c r="DH15" i="17"/>
  <c r="CX18" i="17"/>
  <c r="DC18" i="17"/>
  <c r="CY18" i="17"/>
  <c r="O196" i="18" s="1"/>
  <c r="ED12" i="17"/>
  <c r="ED29" i="17" s="1"/>
  <c r="CS6" i="17"/>
  <c r="O70" i="18" s="1"/>
  <c r="S7" i="18" s="1"/>
  <c r="CR7" i="17"/>
  <c r="CR6" i="17"/>
  <c r="CA19" i="17"/>
  <c r="CA15" i="17"/>
  <c r="H181" i="18" s="1"/>
  <c r="BT17" i="17"/>
  <c r="BU18" i="17"/>
  <c r="BP15" i="17"/>
  <c r="H170" i="18" s="1"/>
  <c r="BY19" i="17"/>
  <c r="I203" i="18" s="1"/>
  <c r="BX17" i="17"/>
  <c r="BY18" i="17"/>
  <c r="H203" i="18" s="1"/>
  <c r="BY15" i="17"/>
  <c r="H179" i="18" s="1"/>
  <c r="BU14" i="17"/>
  <c r="BP14" i="17"/>
  <c r="BV14" i="17"/>
  <c r="CD14" i="17"/>
  <c r="CA14" i="17"/>
  <c r="BY14" i="17"/>
  <c r="BQ14" i="17"/>
  <c r="BT14" i="17"/>
  <c r="CB14" i="17"/>
  <c r="CC14" i="17"/>
  <c r="DT9" i="17"/>
  <c r="DL12" i="17"/>
  <c r="DK11" i="17"/>
  <c r="DO8" i="17"/>
  <c r="Q26" i="18" s="1"/>
  <c r="CU11" i="17"/>
  <c r="BZ14" i="17"/>
  <c r="CJ12" i="17"/>
  <c r="BM9" i="17"/>
  <c r="H119" i="18" s="1"/>
  <c r="CG6" i="17"/>
  <c r="DJ12" i="17"/>
  <c r="DI11" i="17"/>
  <c r="CW11" i="17"/>
  <c r="DD14" i="17"/>
  <c r="DC11" i="17"/>
  <c r="BX14" i="17"/>
  <c r="CI12" i="17"/>
  <c r="CY11" i="17"/>
  <c r="DK12" i="17"/>
  <c r="O160" i="18" s="1"/>
  <c r="P257" i="18" s="1"/>
  <c r="DJ11" i="17"/>
  <c r="CM12" i="17"/>
  <c r="BO14" i="17"/>
  <c r="CL3" i="17"/>
  <c r="CK3" i="17"/>
  <c r="DB14" i="17"/>
  <c r="DA11" i="17"/>
  <c r="DI12" i="17"/>
  <c r="O158" i="18" s="1"/>
  <c r="DH11" i="17"/>
  <c r="DM3" i="17"/>
  <c r="P26" i="18"/>
  <c r="DH12" i="17"/>
  <c r="O157" i="18" s="1"/>
  <c r="DG11" i="17"/>
  <c r="DQ9" i="17"/>
  <c r="DF12" i="17"/>
  <c r="O155" i="18" s="1"/>
  <c r="DE11" i="17"/>
  <c r="DP9" i="17"/>
  <c r="BL9" i="17"/>
  <c r="H118" i="18" s="1"/>
  <c r="CF6" i="17"/>
  <c r="DT8" i="17"/>
  <c r="EY25" i="17" l="1"/>
  <c r="DQ8" i="17"/>
  <c r="ET28" i="17"/>
  <c r="ET11" i="17"/>
  <c r="DG19" i="17"/>
  <c r="P204" i="18" s="1"/>
  <c r="P154" i="18"/>
  <c r="I175" i="18"/>
  <c r="EY8" i="17"/>
  <c r="I45" i="18"/>
  <c r="P45" i="18" s="1"/>
  <c r="P249" i="18"/>
  <c r="CL4" i="17"/>
  <c r="EX8" i="17"/>
  <c r="CK5" i="17"/>
  <c r="BL8" i="17"/>
  <c r="CG8" i="17" s="1"/>
  <c r="I18" i="18" s="1"/>
  <c r="P224" i="18"/>
  <c r="EC11" i="17"/>
  <c r="P248" i="18"/>
  <c r="EP13" i="17"/>
  <c r="EP30" i="17" s="1"/>
  <c r="DE14" i="17"/>
  <c r="EO11" i="17"/>
  <c r="P150" i="18"/>
  <c r="P247" i="18" s="1"/>
  <c r="CJ16" i="17"/>
  <c r="CJ11" i="17"/>
  <c r="CI16" i="17"/>
  <c r="I182" i="18"/>
  <c r="CG7" i="17"/>
  <c r="CI11" i="17"/>
  <c r="CC19" i="17"/>
  <c r="I207" i="18" s="1"/>
  <c r="CF7" i="17"/>
  <c r="CK7" i="17" s="1"/>
  <c r="CR5" i="17"/>
  <c r="DM5" i="17" s="1"/>
  <c r="DR5" i="17" s="1"/>
  <c r="CS7" i="17"/>
  <c r="P70" i="18" s="1"/>
  <c r="I94" i="18"/>
  <c r="P69" i="18"/>
  <c r="I93" i="18"/>
  <c r="O214" i="18" s="1"/>
  <c r="CK4" i="17"/>
  <c r="DP13" i="17"/>
  <c r="BK8" i="17"/>
  <c r="ED13" i="17"/>
  <c r="ED30" i="17" s="1"/>
  <c r="CW14" i="17"/>
  <c r="P223" i="18"/>
  <c r="P175" i="18"/>
  <c r="DB17" i="17"/>
  <c r="P252" i="18"/>
  <c r="P225" i="18"/>
  <c r="O221" i="18"/>
  <c r="I37" i="18"/>
  <c r="P37" i="18" s="1"/>
  <c r="Q45" i="18"/>
  <c r="Q37" i="18"/>
  <c r="CM13" i="17"/>
  <c r="DT13" i="17"/>
  <c r="CR12" i="17" s="1"/>
  <c r="O141" i="18" s="1"/>
  <c r="DL19" i="17"/>
  <c r="P209" i="18" s="1"/>
  <c r="P184" i="18"/>
  <c r="DG18" i="17"/>
  <c r="O204" i="18" s="1"/>
  <c r="O179" i="18"/>
  <c r="DI19" i="17"/>
  <c r="P206" i="18" s="1"/>
  <c r="P181" i="18"/>
  <c r="P109" i="18"/>
  <c r="P157" i="18"/>
  <c r="P254" i="18" s="1"/>
  <c r="O106" i="18"/>
  <c r="P227" i="18" s="1"/>
  <c r="O154" i="18"/>
  <c r="P108" i="18"/>
  <c r="P229" i="18" s="1"/>
  <c r="P156" i="18"/>
  <c r="P253" i="18" s="1"/>
  <c r="DI16" i="17"/>
  <c r="P182" i="18" s="1"/>
  <c r="DH17" i="17"/>
  <c r="O181" i="18"/>
  <c r="DE20" i="17"/>
  <c r="CZ16" i="17"/>
  <c r="DA19" i="17" s="1"/>
  <c r="P198" i="18" s="1"/>
  <c r="P110" i="18"/>
  <c r="P158" i="18"/>
  <c r="P255" i="18" s="1"/>
  <c r="DJ16" i="17"/>
  <c r="O113" i="18"/>
  <c r="P234" i="18" s="1"/>
  <c r="O161" i="18"/>
  <c r="P258" i="18" s="1"/>
  <c r="DF20" i="17"/>
  <c r="O203" i="18"/>
  <c r="G137" i="19"/>
  <c r="O242" i="18"/>
  <c r="P111" i="18"/>
  <c r="P159" i="18"/>
  <c r="DG14" i="17"/>
  <c r="CZ14" i="17"/>
  <c r="O111" i="18"/>
  <c r="O159" i="18"/>
  <c r="DQ13" i="17"/>
  <c r="I53" i="18"/>
  <c r="P53" i="18" s="1"/>
  <c r="I61" i="18"/>
  <c r="P61" i="18" s="1"/>
  <c r="DD20" i="17"/>
  <c r="P201" i="18"/>
  <c r="DC20" i="17"/>
  <c r="O200" i="18"/>
  <c r="P100" i="18"/>
  <c r="P221" i="18" s="1"/>
  <c r="P148" i="18"/>
  <c r="P245" i="18" s="1"/>
  <c r="DB19" i="17"/>
  <c r="P199" i="18" s="1"/>
  <c r="P174" i="18"/>
  <c r="P101" i="18"/>
  <c r="P222" i="18" s="1"/>
  <c r="P149" i="18"/>
  <c r="P246" i="18" s="1"/>
  <c r="P99" i="18"/>
  <c r="P220" i="18" s="1"/>
  <c r="P147" i="18"/>
  <c r="P244" i="18" s="1"/>
  <c r="CY16" i="17"/>
  <c r="O197" i="18"/>
  <c r="CY19" i="17"/>
  <c r="P196" i="18" s="1"/>
  <c r="P171" i="18"/>
  <c r="P97" i="18"/>
  <c r="P218" i="18" s="1"/>
  <c r="P145" i="18"/>
  <c r="P242" i="18" s="1"/>
  <c r="CX19" i="17"/>
  <c r="P195" i="18" s="1"/>
  <c r="P170" i="18"/>
  <c r="P98" i="18"/>
  <c r="P219" i="18" s="1"/>
  <c r="P146" i="18"/>
  <c r="P243" i="18" s="1"/>
  <c r="O195" i="18"/>
  <c r="CS13" i="17"/>
  <c r="CT16" i="17" s="1"/>
  <c r="P117" i="18"/>
  <c r="O93" i="18"/>
  <c r="DA17" i="17"/>
  <c r="CR9" i="17"/>
  <c r="CR11" i="17" s="1"/>
  <c r="EQ27" i="17"/>
  <c r="EQ28" i="17" s="1"/>
  <c r="BL12" i="17"/>
  <c r="EX25" i="17"/>
  <c r="BU20" i="17"/>
  <c r="H199" i="18"/>
  <c r="C104" i="19"/>
  <c r="I44" i="18"/>
  <c r="P44" i="18" s="1"/>
  <c r="I36" i="18"/>
  <c r="I205" i="18"/>
  <c r="CC18" i="17"/>
  <c r="H182" i="18"/>
  <c r="CD17" i="17"/>
  <c r="H184" i="18"/>
  <c r="BW17" i="17"/>
  <c r="H177" i="18"/>
  <c r="H173" i="18"/>
  <c r="BR17" i="17"/>
  <c r="H172" i="18"/>
  <c r="I9" i="18"/>
  <c r="P9" i="18" s="1"/>
  <c r="H94" i="18"/>
  <c r="G104" i="19"/>
  <c r="C105" i="19"/>
  <c r="G103" i="19"/>
  <c r="BS16" i="17"/>
  <c r="BS17" i="17" s="1"/>
  <c r="I148" i="18"/>
  <c r="J7" i="18"/>
  <c r="CA18" i="17"/>
  <c r="H205" i="18" s="1"/>
  <c r="H180" i="18"/>
  <c r="CD18" i="17"/>
  <c r="H183" i="18"/>
  <c r="CE17" i="17"/>
  <c r="H185" i="18"/>
  <c r="BR18" i="17"/>
  <c r="H171" i="18"/>
  <c r="BV18" i="17"/>
  <c r="H175" i="18"/>
  <c r="BV17" i="17"/>
  <c r="H176" i="18"/>
  <c r="I46" i="18"/>
  <c r="C71" i="19" s="1"/>
  <c r="I38" i="18"/>
  <c r="C70" i="19" s="1"/>
  <c r="CX17" i="17"/>
  <c r="CW17" i="17"/>
  <c r="BK10" i="17"/>
  <c r="CF10" i="17" s="1"/>
  <c r="CK10" i="17" s="1"/>
  <c r="EY24" i="17"/>
  <c r="EQ11" i="17"/>
  <c r="EX24" i="17"/>
  <c r="EX10" i="17"/>
  <c r="CB17" i="17"/>
  <c r="CE18" i="17"/>
  <c r="BX18" i="17"/>
  <c r="EQ13" i="17"/>
  <c r="EQ30" i="17" s="1"/>
  <c r="EP27" i="17"/>
  <c r="EP28" i="17" s="1"/>
  <c r="EY10" i="17"/>
  <c r="BS18" i="17"/>
  <c r="BZ17" i="17"/>
  <c r="ED28" i="17"/>
  <c r="EM31" i="17"/>
  <c r="EQ29" i="17"/>
  <c r="EL14" i="17"/>
  <c r="EL29" i="17"/>
  <c r="EL31" i="17" s="1"/>
  <c r="EV23" i="17"/>
  <c r="EA25" i="17"/>
  <c r="EV25" i="17" s="1"/>
  <c r="ES14" i="17"/>
  <c r="ES29" i="17"/>
  <c r="ES31" i="17" s="1"/>
  <c r="EN14" i="17"/>
  <c r="EN29" i="17"/>
  <c r="EN31" i="17" s="1"/>
  <c r="EO31" i="17"/>
  <c r="EP29" i="17"/>
  <c r="ER14" i="17"/>
  <c r="ER29" i="17"/>
  <c r="ER31" i="17" s="1"/>
  <c r="ET14" i="17"/>
  <c r="ET29" i="17"/>
  <c r="ET31" i="17" s="1"/>
  <c r="EX26" i="17"/>
  <c r="EK14" i="17"/>
  <c r="EK29" i="17"/>
  <c r="EK31" i="17" s="1"/>
  <c r="DZ22" i="17"/>
  <c r="EY26" i="17"/>
  <c r="BQ17" i="17"/>
  <c r="CC17" i="17"/>
  <c r="BW18" i="17"/>
  <c r="BU17" i="17"/>
  <c r="O110" i="18"/>
  <c r="O109" i="18"/>
  <c r="BT18" i="17"/>
  <c r="O107" i="18"/>
  <c r="O112" i="18"/>
  <c r="P233" i="18" s="1"/>
  <c r="DI18" i="17"/>
  <c r="DL14" i="17"/>
  <c r="EO14" i="17"/>
  <c r="EY12" i="17"/>
  <c r="EB10" i="17"/>
  <c r="EB27" i="17" s="1"/>
  <c r="EW27" i="17" s="1"/>
  <c r="EV7" i="17"/>
  <c r="EB9" i="17"/>
  <c r="EB26" i="17" s="1"/>
  <c r="EA8" i="17"/>
  <c r="EV6" i="17"/>
  <c r="EM14" i="17"/>
  <c r="EX12" i="17"/>
  <c r="DF17" i="17"/>
  <c r="CT9" i="17"/>
  <c r="DH14" i="17"/>
  <c r="DI15" i="17"/>
  <c r="O182" i="18" s="1"/>
  <c r="DJ14" i="17"/>
  <c r="DK15" i="17"/>
  <c r="O184" i="18" s="1"/>
  <c r="CI15" i="17"/>
  <c r="BZ18" i="17"/>
  <c r="H204" i="18" s="1"/>
  <c r="BY17" i="17"/>
  <c r="CA17" i="17"/>
  <c r="CB18" i="17"/>
  <c r="DF14" i="17"/>
  <c r="DG15" i="17"/>
  <c r="O180" i="18" s="1"/>
  <c r="DK14" i="17"/>
  <c r="DL15" i="17"/>
  <c r="BP17" i="17"/>
  <c r="BQ18" i="17"/>
  <c r="DI14" i="17"/>
  <c r="DJ15" i="17"/>
  <c r="O183" i="18" s="1"/>
  <c r="BY20" i="17"/>
  <c r="CJ15" i="17"/>
  <c r="CR8" i="17"/>
  <c r="CS9" i="17"/>
  <c r="CS10" i="17"/>
  <c r="DM6" i="17"/>
  <c r="DS6" i="17" s="1"/>
  <c r="CF9" i="17"/>
  <c r="CL9" i="17" s="1"/>
  <c r="DT11" i="17"/>
  <c r="CK6" i="17"/>
  <c r="CL6" i="17"/>
  <c r="DP11" i="17"/>
  <c r="DQ12" i="17"/>
  <c r="BN13" i="17"/>
  <c r="CH10" i="17"/>
  <c r="DS3" i="17"/>
  <c r="DR3" i="17"/>
  <c r="CM14" i="17"/>
  <c r="CJ14" i="17"/>
  <c r="DR4" i="17"/>
  <c r="DS4" i="17"/>
  <c r="DQ11" i="17"/>
  <c r="CG9" i="17"/>
  <c r="BN12" i="17"/>
  <c r="CH9" i="17"/>
  <c r="BM11" i="17"/>
  <c r="CH11" i="17" s="1"/>
  <c r="I27" i="18" s="1"/>
  <c r="P27" i="18" s="1"/>
  <c r="CV14" i="17"/>
  <c r="DT12" i="17"/>
  <c r="DN6" i="17"/>
  <c r="BL11" i="17"/>
  <c r="BM12" i="17"/>
  <c r="DP12" i="17"/>
  <c r="CI14" i="17"/>
  <c r="BM13" i="17"/>
  <c r="CG10" i="17"/>
  <c r="H142" i="18" l="1"/>
  <c r="O215" i="18"/>
  <c r="CJ19" i="17"/>
  <c r="EP14" i="17"/>
  <c r="EY30" i="17"/>
  <c r="CF8" i="17"/>
  <c r="CK8" i="17" s="1"/>
  <c r="CI19" i="17"/>
  <c r="EY11" i="17"/>
  <c r="EX30" i="17"/>
  <c r="DS5" i="17"/>
  <c r="EP31" i="17"/>
  <c r="DN7" i="17"/>
  <c r="CS8" i="17"/>
  <c r="DM8" i="17" s="1"/>
  <c r="DR8" i="17" s="1"/>
  <c r="CL7" i="17"/>
  <c r="ED14" i="17"/>
  <c r="DJ19" i="17"/>
  <c r="P207" i="18" s="1"/>
  <c r="Q53" i="18"/>
  <c r="T7" i="18"/>
  <c r="U7" i="18" s="1"/>
  <c r="DM7" i="17"/>
  <c r="DS7" i="17" s="1"/>
  <c r="CT10" i="17"/>
  <c r="CU13" i="17" s="1"/>
  <c r="CV16" i="17" s="1"/>
  <c r="DT16" i="17" s="1"/>
  <c r="CR15" i="17" s="1"/>
  <c r="O165" i="18" s="1"/>
  <c r="Q61" i="18"/>
  <c r="BM15" i="17"/>
  <c r="BN18" i="17" s="1"/>
  <c r="CR13" i="17"/>
  <c r="P141" i="18" s="1"/>
  <c r="P238" i="18" s="1"/>
  <c r="P256" i="18"/>
  <c r="P173" i="18"/>
  <c r="CZ17" i="17"/>
  <c r="P231" i="18"/>
  <c r="CY20" i="17"/>
  <c r="P232" i="18"/>
  <c r="CS15" i="17"/>
  <c r="CT18" i="17" s="1"/>
  <c r="O191" i="18" s="1"/>
  <c r="BK12" i="17"/>
  <c r="BK13" i="17"/>
  <c r="DL17" i="17"/>
  <c r="O185" i="18"/>
  <c r="P251" i="18"/>
  <c r="Q38" i="18"/>
  <c r="C112" i="21" s="1"/>
  <c r="DQ16" i="17"/>
  <c r="DP16" i="17"/>
  <c r="DI20" i="17"/>
  <c r="O206" i="18"/>
  <c r="Q46" i="18"/>
  <c r="C113" i="21" s="1"/>
  <c r="K7" i="18"/>
  <c r="R7" i="18" s="1"/>
  <c r="Q7" i="18"/>
  <c r="DK19" i="17"/>
  <c r="P208" i="18" s="1"/>
  <c r="P183" i="18"/>
  <c r="DG20" i="17"/>
  <c r="C138" i="19"/>
  <c r="O245" i="18"/>
  <c r="DB20" i="17"/>
  <c r="DA20" i="17"/>
  <c r="CX20" i="17"/>
  <c r="CZ19" i="17"/>
  <c r="P172" i="18"/>
  <c r="CY17" i="17"/>
  <c r="CU19" i="17"/>
  <c r="P192" i="18" s="1"/>
  <c r="P167" i="18"/>
  <c r="P93" i="18"/>
  <c r="P214" i="18" s="1"/>
  <c r="P96" i="18"/>
  <c r="CT13" i="17"/>
  <c r="P118" i="18"/>
  <c r="P94" i="18"/>
  <c r="P142" i="18"/>
  <c r="P230" i="18"/>
  <c r="Q44" i="18"/>
  <c r="P228" i="18"/>
  <c r="Q36" i="18"/>
  <c r="CT12" i="17"/>
  <c r="CU15" i="17" s="1"/>
  <c r="O118" i="18"/>
  <c r="CU12" i="17"/>
  <c r="CV15" i="17" s="1"/>
  <c r="O169" i="18" s="1"/>
  <c r="O119" i="18"/>
  <c r="CS12" i="17"/>
  <c r="O117" i="18"/>
  <c r="BL13" i="17"/>
  <c r="I142" i="18" s="1"/>
  <c r="O239" i="18" s="1"/>
  <c r="EQ31" i="17"/>
  <c r="P36" i="18"/>
  <c r="CA20" i="17"/>
  <c r="EX11" i="17"/>
  <c r="CB20" i="17"/>
  <c r="H206" i="18"/>
  <c r="CE20" i="17"/>
  <c r="H209" i="18"/>
  <c r="BR20" i="17"/>
  <c r="H196" i="18"/>
  <c r="CD20" i="17"/>
  <c r="H208" i="18"/>
  <c r="BS20" i="17"/>
  <c r="H197" i="18"/>
  <c r="I95" i="18"/>
  <c r="I143" i="18"/>
  <c r="H95" i="18"/>
  <c r="H143" i="18"/>
  <c r="H96" i="18"/>
  <c r="H144" i="18"/>
  <c r="I96" i="18"/>
  <c r="I144" i="18"/>
  <c r="BQ20" i="17"/>
  <c r="H195" i="18"/>
  <c r="H198" i="18"/>
  <c r="BW20" i="17"/>
  <c r="H201" i="18"/>
  <c r="EX27" i="17"/>
  <c r="BV20" i="17"/>
  <c r="H200" i="18"/>
  <c r="BT19" i="17"/>
  <c r="I198" i="18" s="1"/>
  <c r="I173" i="18"/>
  <c r="CC20" i="17"/>
  <c r="H207" i="18"/>
  <c r="BX20" i="17"/>
  <c r="H202" i="18"/>
  <c r="BK11" i="17"/>
  <c r="CF11" i="17" s="1"/>
  <c r="I117" i="18"/>
  <c r="EY13" i="17"/>
  <c r="EX13" i="17"/>
  <c r="EQ14" i="17"/>
  <c r="CJ17" i="17"/>
  <c r="EY28" i="17"/>
  <c r="EY27" i="17"/>
  <c r="ED31" i="17"/>
  <c r="EB28" i="17"/>
  <c r="EW28" i="17" s="1"/>
  <c r="EW26" i="17"/>
  <c r="EX29" i="17"/>
  <c r="EX28" i="17"/>
  <c r="EY29" i="17"/>
  <c r="CI18" i="17"/>
  <c r="EC13" i="17"/>
  <c r="EW10" i="17"/>
  <c r="EV8" i="17"/>
  <c r="EC12" i="17"/>
  <c r="EB11" i="17"/>
  <c r="EW9" i="17"/>
  <c r="CK9" i="17"/>
  <c r="DP14" i="17"/>
  <c r="DQ14" i="17"/>
  <c r="DR6" i="17"/>
  <c r="BN15" i="17"/>
  <c r="CL10" i="17"/>
  <c r="BO16" i="17"/>
  <c r="I169" i="18" s="1"/>
  <c r="DG17" i="17"/>
  <c r="DH18" i="17"/>
  <c r="O205" i="18" s="1"/>
  <c r="DQ15" i="17"/>
  <c r="DP15" i="17"/>
  <c r="BZ20" i="17"/>
  <c r="CJ18" i="17"/>
  <c r="DI17" i="17"/>
  <c r="DJ18" i="17"/>
  <c r="DJ17" i="17"/>
  <c r="DK18" i="17"/>
  <c r="DK17" i="17"/>
  <c r="DL18" i="17"/>
  <c r="BN16" i="17"/>
  <c r="BO15" i="17"/>
  <c r="H169" i="18" s="1"/>
  <c r="CS11" i="17"/>
  <c r="CI17" i="17"/>
  <c r="DT14" i="17"/>
  <c r="BN14" i="17"/>
  <c r="CG11" i="17"/>
  <c r="I19" i="18" s="1"/>
  <c r="P19" i="18" s="1"/>
  <c r="P46" i="18"/>
  <c r="P38" i="18"/>
  <c r="BM14" i="17"/>
  <c r="CH12" i="17"/>
  <c r="DO9" i="17"/>
  <c r="CH13" i="17"/>
  <c r="CG12" i="17"/>
  <c r="DM9" i="17"/>
  <c r="P18" i="18"/>
  <c r="DN9" i="17"/>
  <c r="EY14" i="17" l="1"/>
  <c r="DW8" i="17"/>
  <c r="CF12" i="17"/>
  <c r="CK12" i="17" s="1"/>
  <c r="DW7" i="17"/>
  <c r="DW9" i="17" s="1"/>
  <c r="DW17" i="17" s="1"/>
  <c r="DX1" i="17" s="1"/>
  <c r="DW10" i="17"/>
  <c r="DW16" i="17" s="1"/>
  <c r="CL8" i="17"/>
  <c r="DN8" i="17"/>
  <c r="Q18" i="18" s="1"/>
  <c r="EX31" i="17"/>
  <c r="CT11" i="17"/>
  <c r="DM11" i="17" s="1"/>
  <c r="P144" i="18"/>
  <c r="DR7" i="17"/>
  <c r="H167" i="18"/>
  <c r="P119" i="18"/>
  <c r="T9" i="18" s="1"/>
  <c r="DO10" i="17"/>
  <c r="DN10" i="17"/>
  <c r="DM10" i="17"/>
  <c r="DR10" i="17" s="1"/>
  <c r="CR14" i="17"/>
  <c r="O240" i="18"/>
  <c r="EY31" i="17"/>
  <c r="CS16" i="17"/>
  <c r="DN16" i="17" s="1"/>
  <c r="DN12" i="17"/>
  <c r="O217" i="18"/>
  <c r="O166" i="18"/>
  <c r="I141" i="18"/>
  <c r="BL16" i="17"/>
  <c r="H141" i="18"/>
  <c r="BL15" i="17"/>
  <c r="BK14" i="17"/>
  <c r="DQ19" i="17"/>
  <c r="CG13" i="17"/>
  <c r="DK20" i="17"/>
  <c r="O208" i="18"/>
  <c r="DL20" i="17"/>
  <c r="O209" i="18"/>
  <c r="DJ20" i="17"/>
  <c r="O207" i="18"/>
  <c r="DP19" i="17"/>
  <c r="BM16" i="17"/>
  <c r="I167" i="18" s="1"/>
  <c r="O241" i="18"/>
  <c r="BL14" i="17"/>
  <c r="CF13" i="17"/>
  <c r="CK13" i="17" s="1"/>
  <c r="EX14" i="17"/>
  <c r="O216" i="18"/>
  <c r="P197" i="18"/>
  <c r="CZ20" i="17"/>
  <c r="DO12" i="17"/>
  <c r="P95" i="18"/>
  <c r="T8" i="18" s="1"/>
  <c r="P143" i="18"/>
  <c r="CW19" i="17"/>
  <c r="P194" i="18" s="1"/>
  <c r="P169" i="18"/>
  <c r="DN13" i="17"/>
  <c r="DM13" i="17"/>
  <c r="DS13" i="17" s="1"/>
  <c r="CT14" i="17"/>
  <c r="CU16" i="17"/>
  <c r="P168" i="18" s="1"/>
  <c r="O94" i="18"/>
  <c r="O142" i="18"/>
  <c r="CT15" i="17"/>
  <c r="DO15" i="17" s="1"/>
  <c r="CS14" i="17"/>
  <c r="O95" i="18"/>
  <c r="O143" i="18"/>
  <c r="S9" i="18"/>
  <c r="CV18" i="17"/>
  <c r="O193" i="18" s="1"/>
  <c r="O168" i="18"/>
  <c r="O96" i="18"/>
  <c r="P217" i="18" s="1"/>
  <c r="O144" i="18"/>
  <c r="CJ20" i="17"/>
  <c r="I8" i="18"/>
  <c r="J8" i="18"/>
  <c r="I54" i="18"/>
  <c r="P54" i="18" s="1"/>
  <c r="I62" i="18"/>
  <c r="P62" i="18" s="1"/>
  <c r="BO19" i="17"/>
  <c r="I193" i="18" s="1"/>
  <c r="I168" i="18"/>
  <c r="CH15" i="17"/>
  <c r="H168" i="18"/>
  <c r="J9" i="18"/>
  <c r="I63" i="18"/>
  <c r="P63" i="18" s="1"/>
  <c r="I55" i="18"/>
  <c r="P55" i="18" s="1"/>
  <c r="BT20" i="17"/>
  <c r="H192" i="18"/>
  <c r="EC29" i="17"/>
  <c r="EC30" i="17"/>
  <c r="CR16" i="17"/>
  <c r="CI20" i="17"/>
  <c r="EW11" i="17"/>
  <c r="EC14" i="17"/>
  <c r="CS18" i="17"/>
  <c r="O190" i="18" s="1"/>
  <c r="CV17" i="17"/>
  <c r="DT17" i="17" s="1"/>
  <c r="DT15" i="17"/>
  <c r="CW18" i="17"/>
  <c r="DS8" i="17"/>
  <c r="DH20" i="17"/>
  <c r="DP18" i="17"/>
  <c r="DQ18" i="17"/>
  <c r="BN17" i="17"/>
  <c r="BO18" i="17"/>
  <c r="H193" i="18" s="1"/>
  <c r="BO17" i="17"/>
  <c r="CM17" i="17" s="1"/>
  <c r="BP18" i="17"/>
  <c r="H194" i="18" s="1"/>
  <c r="CM15" i="17"/>
  <c r="DQ17" i="17"/>
  <c r="DP17" i="17"/>
  <c r="CM16" i="17"/>
  <c r="BP19" i="17"/>
  <c r="CL11" i="17"/>
  <c r="CK11" i="17"/>
  <c r="DM12" i="17"/>
  <c r="DR12" i="17" s="1"/>
  <c r="CL12" i="17"/>
  <c r="DO13" i="17"/>
  <c r="DR9" i="17"/>
  <c r="DS9" i="17"/>
  <c r="CU14" i="17"/>
  <c r="CH14" i="17"/>
  <c r="I28" i="18" s="1"/>
  <c r="EE9" i="17" l="1"/>
  <c r="EE4" i="17"/>
  <c r="EE7" i="17"/>
  <c r="EE24" i="17" s="1"/>
  <c r="DX18" i="17"/>
  <c r="EE12" i="17"/>
  <c r="EF4" i="17"/>
  <c r="EF21" i="17" s="1"/>
  <c r="C37" i="21"/>
  <c r="EG4" i="17"/>
  <c r="EE6" i="17"/>
  <c r="EE3" i="17"/>
  <c r="EE10" i="17"/>
  <c r="EG3" i="17"/>
  <c r="EE13" i="17"/>
  <c r="EE30" i="17" s="1"/>
  <c r="EF3" i="17"/>
  <c r="EF10" i="17"/>
  <c r="EG13" i="17" s="1"/>
  <c r="EG30" i="17" s="1"/>
  <c r="EF9" i="17"/>
  <c r="EG12" i="17" s="1"/>
  <c r="EG14" i="17" s="1"/>
  <c r="DN11" i="17"/>
  <c r="Q19" i="18" s="1"/>
  <c r="DO11" i="17"/>
  <c r="Q27" i="18" s="1"/>
  <c r="Q63" i="18"/>
  <c r="P241" i="18"/>
  <c r="T10" i="18"/>
  <c r="DS10" i="17"/>
  <c r="Q55" i="18"/>
  <c r="P166" i="18"/>
  <c r="CT19" i="17"/>
  <c r="CT20" i="17" s="1"/>
  <c r="DR13" i="17"/>
  <c r="CS17" i="17"/>
  <c r="CL13" i="17"/>
  <c r="BN19" i="17"/>
  <c r="I192" i="18" s="1"/>
  <c r="I56" i="18"/>
  <c r="E74" i="19" s="1"/>
  <c r="U9" i="18"/>
  <c r="CG16" i="17"/>
  <c r="I64" i="18"/>
  <c r="P64" i="18" s="1"/>
  <c r="J10" i="18"/>
  <c r="F12" i="19" s="1"/>
  <c r="CF14" i="17"/>
  <c r="CK14" i="17" s="1"/>
  <c r="O238" i="18"/>
  <c r="CU17" i="17"/>
  <c r="H166" i="18"/>
  <c r="BM18" i="17"/>
  <c r="CG15" i="17"/>
  <c r="BL17" i="17"/>
  <c r="CG14" i="17"/>
  <c r="I20" i="18" s="1"/>
  <c r="F36" i="19" s="1"/>
  <c r="F40" i="19" s="1"/>
  <c r="I10" i="18"/>
  <c r="P10" i="18" s="1"/>
  <c r="I166" i="18"/>
  <c r="BM19" i="17"/>
  <c r="I191" i="18" s="1"/>
  <c r="DO16" i="17"/>
  <c r="CH16" i="17"/>
  <c r="P28" i="18"/>
  <c r="F37" i="19"/>
  <c r="F41" i="19" s="1"/>
  <c r="K9" i="18"/>
  <c r="R9" i="18" s="1"/>
  <c r="Q9" i="18"/>
  <c r="F8" i="19"/>
  <c r="Q8" i="18"/>
  <c r="BM17" i="17"/>
  <c r="C8" i="19"/>
  <c r="P8" i="18"/>
  <c r="DM15" i="17"/>
  <c r="DR15" i="17" s="1"/>
  <c r="CV19" i="17"/>
  <c r="DT19" i="17" s="1"/>
  <c r="CR19" i="17" s="1"/>
  <c r="P216" i="18"/>
  <c r="DN14" i="17"/>
  <c r="Q20" i="18" s="1"/>
  <c r="F78" i="21" s="1"/>
  <c r="P240" i="18"/>
  <c r="CS19" i="17"/>
  <c r="CS20" i="17" s="1"/>
  <c r="P165" i="18"/>
  <c r="CW20" i="17"/>
  <c r="O194" i="18"/>
  <c r="CU18" i="17"/>
  <c r="O167" i="18"/>
  <c r="DN15" i="17"/>
  <c r="CT17" i="17"/>
  <c r="P239" i="18"/>
  <c r="Q64" i="18"/>
  <c r="Q56" i="18"/>
  <c r="S10" i="18"/>
  <c r="P215" i="18"/>
  <c r="S8" i="18"/>
  <c r="U8" i="18" s="1"/>
  <c r="D43" i="21" s="1"/>
  <c r="Q62" i="18"/>
  <c r="Q54" i="18"/>
  <c r="K8" i="18"/>
  <c r="CM19" i="17"/>
  <c r="BK19" i="17" s="1"/>
  <c r="I189" i="18" s="1"/>
  <c r="I194" i="18"/>
  <c r="EC31" i="17"/>
  <c r="CR17" i="17"/>
  <c r="DM16" i="17"/>
  <c r="DS16" i="17" s="1"/>
  <c r="DN18" i="17"/>
  <c r="BP20" i="17"/>
  <c r="DT18" i="17"/>
  <c r="BK15" i="17"/>
  <c r="H165" i="18" s="1"/>
  <c r="BK16" i="17"/>
  <c r="I165" i="18" s="1"/>
  <c r="BO20" i="17"/>
  <c r="CM18" i="17"/>
  <c r="DQ20" i="17"/>
  <c r="DP20" i="17"/>
  <c r="DS12" i="17"/>
  <c r="DO14" i="17"/>
  <c r="Q28" i="18" s="1"/>
  <c r="F79" i="21" s="1"/>
  <c r="DM14" i="17"/>
  <c r="DR11" i="17"/>
  <c r="DS11" i="17"/>
  <c r="EG29" i="17" l="1"/>
  <c r="EF26" i="17"/>
  <c r="D38" i="21"/>
  <c r="D39" i="21"/>
  <c r="D37" i="21"/>
  <c r="C38" i="21"/>
  <c r="C39" i="21"/>
  <c r="EG7" i="17"/>
  <c r="EE23" i="17"/>
  <c r="EE25" i="17" s="1"/>
  <c r="EE8" i="17"/>
  <c r="EE29" i="17"/>
  <c r="EE31" i="17" s="1"/>
  <c r="EE14" i="17"/>
  <c r="EE26" i="17"/>
  <c r="EE11" i="17"/>
  <c r="EF13" i="17"/>
  <c r="EE27" i="17"/>
  <c r="EG6" i="17"/>
  <c r="EF5" i="17"/>
  <c r="EF20" i="17"/>
  <c r="EF22" i="17" s="1"/>
  <c r="EF6" i="17"/>
  <c r="EU3" i="17"/>
  <c r="EE5" i="17"/>
  <c r="EE20" i="17"/>
  <c r="FB3" i="17"/>
  <c r="EE21" i="17"/>
  <c r="EF7" i="17"/>
  <c r="FB4" i="17"/>
  <c r="EU4" i="17"/>
  <c r="EF11" i="17"/>
  <c r="EF27" i="17"/>
  <c r="EF28" i="17" s="1"/>
  <c r="EF12" i="17"/>
  <c r="EH6" i="17"/>
  <c r="EG5" i="17"/>
  <c r="EG20" i="17"/>
  <c r="EG21" i="17"/>
  <c r="EH7" i="17"/>
  <c r="U10" i="18"/>
  <c r="D44" i="21" s="1"/>
  <c r="DN17" i="17"/>
  <c r="P191" i="18"/>
  <c r="G71" i="19"/>
  <c r="P56" i="18"/>
  <c r="E116" i="21" s="1"/>
  <c r="C12" i="19"/>
  <c r="CL14" i="17"/>
  <c r="E75" i="19"/>
  <c r="BK18" i="17"/>
  <c r="H189" i="18" s="1"/>
  <c r="DO19" i="17"/>
  <c r="BN20" i="17"/>
  <c r="G70" i="19"/>
  <c r="Q10" i="18"/>
  <c r="K10" i="18"/>
  <c r="R10" i="18" s="1"/>
  <c r="C83" i="21"/>
  <c r="CG17" i="17"/>
  <c r="P20" i="18"/>
  <c r="DS15" i="17"/>
  <c r="CV20" i="17"/>
  <c r="DT20" i="17" s="1"/>
  <c r="CH19" i="17"/>
  <c r="H191" i="18"/>
  <c r="BM20" i="17"/>
  <c r="CH18" i="17"/>
  <c r="DN20" i="17"/>
  <c r="CH17" i="17"/>
  <c r="C82" i="21"/>
  <c r="D6" i="19"/>
  <c r="D7" i="19" s="1"/>
  <c r="R8" i="18"/>
  <c r="EG31" i="17"/>
  <c r="P193" i="18"/>
  <c r="DM19" i="17"/>
  <c r="DS19" i="17" s="1"/>
  <c r="P189" i="18"/>
  <c r="CR18" i="17"/>
  <c r="CR20" i="17" s="1"/>
  <c r="DN19" i="17"/>
  <c r="P190" i="18"/>
  <c r="DM17" i="17"/>
  <c r="DR17" i="17" s="1"/>
  <c r="E117" i="21"/>
  <c r="G113" i="21"/>
  <c r="O192" i="18"/>
  <c r="CU20" i="17"/>
  <c r="DO20" i="17" s="1"/>
  <c r="DO18" i="17"/>
  <c r="DO17" i="17"/>
  <c r="G112" i="21"/>
  <c r="DR16" i="17"/>
  <c r="BL18" i="17"/>
  <c r="BK17" i="17"/>
  <c r="CF17" i="17" s="1"/>
  <c r="CF15" i="17"/>
  <c r="CM20" i="17"/>
  <c r="CF16" i="17"/>
  <c r="BL19" i="17"/>
  <c r="DR14" i="17"/>
  <c r="DS14" i="17"/>
  <c r="CH20" i="17" l="1"/>
  <c r="EG22" i="17"/>
  <c r="EF8" i="17"/>
  <c r="FB8" i="17" s="1"/>
  <c r="EF24" i="17"/>
  <c r="EG10" i="17"/>
  <c r="EU5" i="17"/>
  <c r="FB5" i="17"/>
  <c r="EF30" i="17"/>
  <c r="FB30" i="17" s="1"/>
  <c r="FB13" i="17"/>
  <c r="EG8" i="17"/>
  <c r="EH10" i="17"/>
  <c r="EG24" i="17"/>
  <c r="FB21" i="17"/>
  <c r="EU21" i="17"/>
  <c r="EG23" i="17"/>
  <c r="FB23" i="17" s="1"/>
  <c r="EH9" i="17"/>
  <c r="EI10" i="17"/>
  <c r="EH24" i="17"/>
  <c r="EH25" i="17" s="1"/>
  <c r="EI9" i="17"/>
  <c r="EH23" i="17"/>
  <c r="EH8" i="17"/>
  <c r="FA4" i="17"/>
  <c r="EZ4" i="17"/>
  <c r="EF23" i="17"/>
  <c r="EG9" i="17"/>
  <c r="FB7" i="17"/>
  <c r="FB6" i="17"/>
  <c r="EZ3" i="17"/>
  <c r="FA3" i="17"/>
  <c r="EF14" i="17"/>
  <c r="FB14" i="17" s="1"/>
  <c r="FB12" i="17"/>
  <c r="EF29" i="17"/>
  <c r="FB20" i="17"/>
  <c r="EU20" i="17"/>
  <c r="EE22" i="17"/>
  <c r="EE28" i="17"/>
  <c r="D10" i="19"/>
  <c r="D47" i="21" s="1"/>
  <c r="D46" i="21"/>
  <c r="BK20" i="17"/>
  <c r="DR19" i="17"/>
  <c r="DM18" i="17"/>
  <c r="DR18" i="17" s="1"/>
  <c r="O189" i="18"/>
  <c r="DS17" i="17"/>
  <c r="DM20" i="17"/>
  <c r="DR20" i="17" s="1"/>
  <c r="CF18" i="17"/>
  <c r="CL18" i="17" s="1"/>
  <c r="H190" i="18"/>
  <c r="CG19" i="17"/>
  <c r="I190" i="18"/>
  <c r="CF19" i="17"/>
  <c r="CK15" i="17"/>
  <c r="CL15" i="17"/>
  <c r="BL20" i="17"/>
  <c r="CG20" i="17" s="1"/>
  <c r="CG18" i="17"/>
  <c r="CL17" i="17"/>
  <c r="CK17" i="17"/>
  <c r="CK16" i="17"/>
  <c r="CL16" i="17"/>
  <c r="EF31" i="17" l="1"/>
  <c r="FB31" i="17" s="1"/>
  <c r="FB29" i="17"/>
  <c r="EH26" i="17"/>
  <c r="EI12" i="17"/>
  <c r="EH11" i="17"/>
  <c r="DZ13" i="17"/>
  <c r="DZ30" i="17" s="1"/>
  <c r="DZ12" i="17"/>
  <c r="EG26" i="17"/>
  <c r="FB26" i="17" s="1"/>
  <c r="EH12" i="17"/>
  <c r="FB9" i="17"/>
  <c r="EG11" i="17"/>
  <c r="FB11" i="17" s="1"/>
  <c r="EI27" i="17"/>
  <c r="EJ13" i="17"/>
  <c r="EJ30" i="17" s="1"/>
  <c r="EG25" i="17"/>
  <c r="EF25" i="17"/>
  <c r="FB24" i="17"/>
  <c r="FB22" i="17"/>
  <c r="EU22" i="17"/>
  <c r="EZ21" i="17"/>
  <c r="FA21" i="17"/>
  <c r="EH27" i="17"/>
  <c r="EI13" i="17"/>
  <c r="EI30" i="17" s="1"/>
  <c r="DZ7" i="17"/>
  <c r="DZ6" i="17"/>
  <c r="FB10" i="17"/>
  <c r="EH13" i="17"/>
  <c r="EH30" i="17" s="1"/>
  <c r="EG27" i="17"/>
  <c r="FA20" i="17"/>
  <c r="EZ20" i="17"/>
  <c r="EI11" i="17"/>
  <c r="EJ12" i="17"/>
  <c r="EI26" i="17"/>
  <c r="EI28" i="17" s="1"/>
  <c r="EZ5" i="17"/>
  <c r="FA5" i="17"/>
  <c r="D11" i="19"/>
  <c r="CK18" i="17"/>
  <c r="DS20" i="17"/>
  <c r="DS18" i="17"/>
  <c r="CK19" i="17"/>
  <c r="CL19" i="17"/>
  <c r="CF20" i="17"/>
  <c r="EH29" i="17" l="1"/>
  <c r="EH14" i="17"/>
  <c r="DZ23" i="17"/>
  <c r="EA9" i="17"/>
  <c r="DZ8" i="17"/>
  <c r="EU8" i="17" s="1"/>
  <c r="EU6" i="17"/>
  <c r="EI29" i="17"/>
  <c r="EI31" i="17" s="1"/>
  <c r="EI14" i="17"/>
  <c r="EH31" i="17"/>
  <c r="FA22" i="17"/>
  <c r="EZ22" i="17"/>
  <c r="H36" i="21"/>
  <c r="DZ10" i="17"/>
  <c r="DZ9" i="17"/>
  <c r="EJ29" i="17"/>
  <c r="EJ31" i="17" s="1"/>
  <c r="EJ14" i="17"/>
  <c r="EG28" i="17"/>
  <c r="FB28" i="17" s="1"/>
  <c r="FB27" i="17"/>
  <c r="EU7" i="17"/>
  <c r="EA10" i="17"/>
  <c r="DZ24" i="17"/>
  <c r="EU24" i="17" s="1"/>
  <c r="FB25" i="17"/>
  <c r="DZ14" i="17"/>
  <c r="DZ29" i="17"/>
  <c r="DZ31" i="17" s="1"/>
  <c r="EH28" i="17"/>
  <c r="CK20" i="17"/>
  <c r="CL20" i="17"/>
  <c r="FA7" i="17" l="1"/>
  <c r="EZ7" i="17"/>
  <c r="DZ25" i="17"/>
  <c r="EU25" i="17" s="1"/>
  <c r="EU23" i="17"/>
  <c r="EA12" i="17"/>
  <c r="DZ26" i="17"/>
  <c r="DZ11" i="17"/>
  <c r="FA24" i="17"/>
  <c r="EZ24" i="17"/>
  <c r="EA13" i="17"/>
  <c r="DZ27" i="17"/>
  <c r="EU27" i="17" s="1"/>
  <c r="EU10" i="17"/>
  <c r="FA8" i="17"/>
  <c r="EZ8" i="17"/>
  <c r="EZ6" i="17"/>
  <c r="FA6" i="17"/>
  <c r="EA27" i="17"/>
  <c r="EV27" i="17" s="1"/>
  <c r="EB13" i="17"/>
  <c r="EV10" i="17"/>
  <c r="EU9" i="17"/>
  <c r="EB12" i="17"/>
  <c r="EA11" i="17"/>
  <c r="EV11" i="17" s="1"/>
  <c r="EV9" i="17"/>
  <c r="EA26" i="17"/>
  <c r="EU11" i="17" l="1"/>
  <c r="EZ11" i="17" s="1"/>
  <c r="EZ27" i="17"/>
  <c r="FA27" i="17"/>
  <c r="FA25" i="17"/>
  <c r="EZ25" i="17"/>
  <c r="H37" i="21"/>
  <c r="FA11" i="17"/>
  <c r="EV13" i="17"/>
  <c r="EW13" i="17"/>
  <c r="EB30" i="17"/>
  <c r="EW30" i="17" s="1"/>
  <c r="EA30" i="17"/>
  <c r="EU13" i="17"/>
  <c r="DZ28" i="17"/>
  <c r="EU26" i="17"/>
  <c r="EB29" i="17"/>
  <c r="EW12" i="17"/>
  <c r="EB14" i="17"/>
  <c r="EW14" i="17" s="1"/>
  <c r="EA29" i="17"/>
  <c r="EA14" i="17"/>
  <c r="EU12" i="17"/>
  <c r="EV12" i="17"/>
  <c r="EA28" i="17"/>
  <c r="EV28" i="17" s="1"/>
  <c r="EV26" i="17"/>
  <c r="EZ9" i="17"/>
  <c r="FA9" i="17"/>
  <c r="EZ10" i="17"/>
  <c r="FA10" i="17"/>
  <c r="EZ23" i="17"/>
  <c r="FA23" i="17"/>
  <c r="FA12" i="17" l="1"/>
  <c r="EZ12" i="17"/>
  <c r="EW29" i="17"/>
  <c r="EB31" i="17"/>
  <c r="EW31" i="17" s="1"/>
  <c r="EV30" i="17"/>
  <c r="EU30" i="17"/>
  <c r="EA31" i="17"/>
  <c r="EU29" i="17"/>
  <c r="EV29" i="17"/>
  <c r="FA26" i="17"/>
  <c r="EZ26" i="17"/>
  <c r="EU28" i="17"/>
  <c r="EZ13" i="17"/>
  <c r="FA13" i="17"/>
  <c r="EU14" i="17"/>
  <c r="EV14" i="17"/>
  <c r="EZ28" i="17" l="1"/>
  <c r="H38" i="21"/>
  <c r="FA28" i="17"/>
  <c r="EV31" i="17"/>
  <c r="EU31" i="17"/>
  <c r="EZ30" i="17"/>
  <c r="FA30" i="17"/>
  <c r="FA29" i="17"/>
  <c r="EZ29" i="17"/>
  <c r="FA14" i="17"/>
  <c r="EZ14" i="17"/>
  <c r="FA31" i="17" l="1"/>
  <c r="H39" i="21"/>
  <c r="EZ31" i="17"/>
</calcChain>
</file>

<file path=xl/sharedStrings.xml><?xml version="1.0" encoding="utf-8"?>
<sst xmlns="http://schemas.openxmlformats.org/spreadsheetml/2006/main" count="1375" uniqueCount="456">
  <si>
    <t>0～4歳</t>
  </si>
  <si>
    <t>5～9歳</t>
  </si>
  <si>
    <t>10～14歳</t>
  </si>
  <si>
    <t>15～19歳</t>
  </si>
  <si>
    <t>20～24歳</t>
  </si>
  <si>
    <t>25～29歳</t>
  </si>
  <si>
    <t>30～34歳</t>
  </si>
  <si>
    <t>35～39歳</t>
  </si>
  <si>
    <t>40～44歳</t>
  </si>
  <si>
    <t>45～49歳</t>
  </si>
  <si>
    <t>50～54歳</t>
  </si>
  <si>
    <t>55～59歳</t>
  </si>
  <si>
    <t>60～64歳</t>
  </si>
  <si>
    <t>65～69歳</t>
  </si>
  <si>
    <t>70～74歳</t>
  </si>
  <si>
    <t>75～79歳</t>
  </si>
  <si>
    <t>80～84歳</t>
  </si>
  <si>
    <t>85～89歳</t>
  </si>
  <si>
    <t>90～94歳</t>
  </si>
  <si>
    <t>95～99歳</t>
  </si>
  <si>
    <t>100歳以上</t>
  </si>
  <si>
    <t>男性</t>
    <rPh sb="0" eb="2">
      <t>ダンセイ</t>
    </rPh>
    <phoneticPr fontId="2"/>
  </si>
  <si>
    <t>女性</t>
    <rPh sb="0" eb="2">
      <t>ジョセイ</t>
    </rPh>
    <phoneticPr fontId="2"/>
  </si>
  <si>
    <t>合計</t>
    <rPh sb="0" eb="2">
      <t>ゴウケイ</t>
    </rPh>
    <phoneticPr fontId="2"/>
  </si>
  <si>
    <t>地区名</t>
    <rPh sb="0" eb="3">
      <t>チクメイ</t>
    </rPh>
    <phoneticPr fontId="2"/>
  </si>
  <si>
    <t>コーホート変化率</t>
    <rPh sb="5" eb="7">
      <t>ヘンカ</t>
    </rPh>
    <rPh sb="7" eb="8">
      <t>リツ</t>
    </rPh>
    <phoneticPr fontId="2"/>
  </si>
  <si>
    <t>10～14歳→15～19歳</t>
    <rPh sb="5" eb="6">
      <t>サイ</t>
    </rPh>
    <rPh sb="12" eb="13">
      <t>サイ</t>
    </rPh>
    <phoneticPr fontId="2"/>
  </si>
  <si>
    <t>0～4歳→
5～9歳</t>
    <rPh sb="3" eb="4">
      <t>サイ</t>
    </rPh>
    <rPh sb="9" eb="10">
      <t>サイ</t>
    </rPh>
    <phoneticPr fontId="2"/>
  </si>
  <si>
    <t>5～9歳→
10～14歳</t>
    <rPh sb="3" eb="4">
      <t>サイ</t>
    </rPh>
    <rPh sb="11" eb="12">
      <t>サイ</t>
    </rPh>
    <phoneticPr fontId="2"/>
  </si>
  <si>
    <t>15～19歳→20～24歳</t>
    <rPh sb="5" eb="6">
      <t>サイ</t>
    </rPh>
    <rPh sb="12" eb="13">
      <t>サイ</t>
    </rPh>
    <phoneticPr fontId="2"/>
  </si>
  <si>
    <t>20～24歳→25～29歳</t>
    <rPh sb="5" eb="6">
      <t>サイ</t>
    </rPh>
    <rPh sb="12" eb="13">
      <t>サイ</t>
    </rPh>
    <phoneticPr fontId="2"/>
  </si>
  <si>
    <t>25～29歳→30～34歳</t>
    <rPh sb="5" eb="6">
      <t>サイ</t>
    </rPh>
    <rPh sb="12" eb="13">
      <t>サイ</t>
    </rPh>
    <phoneticPr fontId="2"/>
  </si>
  <si>
    <t>30～34歳→35～39歳</t>
    <rPh sb="5" eb="6">
      <t>サイ</t>
    </rPh>
    <rPh sb="12" eb="13">
      <t>サイ</t>
    </rPh>
    <phoneticPr fontId="2"/>
  </si>
  <si>
    <t>35～39歳→40～44歳</t>
    <rPh sb="5" eb="6">
      <t>サイ</t>
    </rPh>
    <rPh sb="12" eb="13">
      <t>サイ</t>
    </rPh>
    <phoneticPr fontId="2"/>
  </si>
  <si>
    <t>40～44歳→45～49歳</t>
    <rPh sb="5" eb="6">
      <t>サイ</t>
    </rPh>
    <rPh sb="12" eb="13">
      <t>サイ</t>
    </rPh>
    <phoneticPr fontId="2"/>
  </si>
  <si>
    <t>45～49歳→50～54歳</t>
    <rPh sb="5" eb="6">
      <t>サイ</t>
    </rPh>
    <rPh sb="12" eb="13">
      <t>サイ</t>
    </rPh>
    <phoneticPr fontId="2"/>
  </si>
  <si>
    <t>50～54歳→55～59歳</t>
    <rPh sb="5" eb="6">
      <t>サイ</t>
    </rPh>
    <rPh sb="12" eb="13">
      <t>サイ</t>
    </rPh>
    <phoneticPr fontId="2"/>
  </si>
  <si>
    <t>55～59歳→60～64歳</t>
    <rPh sb="5" eb="6">
      <t>サイ</t>
    </rPh>
    <rPh sb="12" eb="13">
      <t>サイ</t>
    </rPh>
    <phoneticPr fontId="2"/>
  </si>
  <si>
    <t>60～64歳→65～69歳</t>
    <rPh sb="5" eb="6">
      <t>サイ</t>
    </rPh>
    <rPh sb="12" eb="13">
      <t>サイ</t>
    </rPh>
    <phoneticPr fontId="2"/>
  </si>
  <si>
    <t>65～69歳→70～74歳</t>
    <rPh sb="5" eb="6">
      <t>サイ</t>
    </rPh>
    <rPh sb="12" eb="13">
      <t>サイ</t>
    </rPh>
    <phoneticPr fontId="2"/>
  </si>
  <si>
    <t>70～74歳→75～79歳</t>
    <rPh sb="5" eb="6">
      <t>サイ</t>
    </rPh>
    <rPh sb="12" eb="13">
      <t>サイ</t>
    </rPh>
    <phoneticPr fontId="2"/>
  </si>
  <si>
    <t>80～84歳→85～89歳</t>
    <rPh sb="5" eb="6">
      <t>サイ</t>
    </rPh>
    <rPh sb="12" eb="13">
      <t>サイ</t>
    </rPh>
    <phoneticPr fontId="2"/>
  </si>
  <si>
    <t>85～89歳→90～94歳</t>
    <rPh sb="5" eb="6">
      <t>サイ</t>
    </rPh>
    <rPh sb="12" eb="13">
      <t>サイ</t>
    </rPh>
    <phoneticPr fontId="2"/>
  </si>
  <si>
    <t>95～99歳→100歳以上</t>
    <rPh sb="5" eb="6">
      <t>サイ</t>
    </rPh>
    <rPh sb="10" eb="11">
      <t>サイ</t>
    </rPh>
    <rPh sb="11" eb="13">
      <t>イジョウ</t>
    </rPh>
    <phoneticPr fontId="2"/>
  </si>
  <si>
    <t>性年齢階層別人口</t>
    <rPh sb="0" eb="1">
      <t>セイ</t>
    </rPh>
    <rPh sb="1" eb="3">
      <t>ネンレイ</t>
    </rPh>
    <rPh sb="3" eb="6">
      <t>カイソウベツ</t>
    </rPh>
    <rPh sb="6" eb="8">
      <t>ジンコウ</t>
    </rPh>
    <phoneticPr fontId="2"/>
  </si>
  <si>
    <t>75～79歳→80～84歳</t>
    <rPh sb="5" eb="6">
      <t>サイ</t>
    </rPh>
    <rPh sb="12" eb="13">
      <t>サイ</t>
    </rPh>
    <phoneticPr fontId="2"/>
  </si>
  <si>
    <t>90～94歳→95～99歳</t>
    <rPh sb="5" eb="6">
      <t>サイ</t>
    </rPh>
    <rPh sb="12" eb="13">
      <t>サイ</t>
    </rPh>
    <phoneticPr fontId="2"/>
  </si>
  <si>
    <t>婦人子ども比</t>
    <rPh sb="0" eb="2">
      <t>フジン</t>
    </rPh>
    <rPh sb="2" eb="3">
      <t>コ</t>
    </rPh>
    <rPh sb="5" eb="6">
      <t>ヒ</t>
    </rPh>
    <phoneticPr fontId="2"/>
  </si>
  <si>
    <t>65歳以上割合</t>
    <rPh sb="2" eb="3">
      <t>サイ</t>
    </rPh>
    <rPh sb="3" eb="5">
      <t>イジョウ</t>
    </rPh>
    <rPh sb="5" eb="7">
      <t>ワリアイ</t>
    </rPh>
    <phoneticPr fontId="2"/>
  </si>
  <si>
    <t>75歳以上割合</t>
    <rPh sb="2" eb="3">
      <t>サイ</t>
    </rPh>
    <rPh sb="3" eb="5">
      <t>イジョウ</t>
    </rPh>
    <rPh sb="5" eb="7">
      <t>ワリアイ</t>
    </rPh>
    <phoneticPr fontId="2"/>
  </si>
  <si>
    <t>小学生数</t>
    <rPh sb="0" eb="3">
      <t>ショウガクセイ</t>
    </rPh>
    <rPh sb="3" eb="4">
      <t>スウ</t>
    </rPh>
    <phoneticPr fontId="2"/>
  </si>
  <si>
    <t>中学生数</t>
    <rPh sb="0" eb="3">
      <t>チュウガクセイ</t>
    </rPh>
    <rPh sb="3" eb="4">
      <t>スウ</t>
    </rPh>
    <phoneticPr fontId="2"/>
  </si>
  <si>
    <t>項目</t>
    <rPh sb="0" eb="2">
      <t>コウモク</t>
    </rPh>
    <phoneticPr fontId="2"/>
  </si>
  <si>
    <t>設定値</t>
    <rPh sb="0" eb="2">
      <t>セッテイ</t>
    </rPh>
    <rPh sb="2" eb="3">
      <t>チ</t>
    </rPh>
    <phoneticPr fontId="2"/>
  </si>
  <si>
    <t>人です。</t>
    <rPh sb="0" eb="1">
      <t>ニン</t>
    </rPh>
    <phoneticPr fontId="2"/>
  </si>
  <si>
    <t>現況年</t>
    <rPh sb="0" eb="2">
      <t>ゲンキョウ</t>
    </rPh>
    <rPh sb="2" eb="3">
      <t>ネン</t>
    </rPh>
    <phoneticPr fontId="2"/>
  </si>
  <si>
    <t>データコード</t>
    <phoneticPr fontId="2"/>
  </si>
  <si>
    <t>5年前</t>
    <rPh sb="1" eb="3">
      <t>ネンマエ</t>
    </rPh>
    <phoneticPr fontId="2"/>
  </si>
  <si>
    <t>10年前</t>
    <rPh sb="2" eb="3">
      <t>ネン</t>
    </rPh>
    <rPh sb="3" eb="4">
      <t>マエ</t>
    </rPh>
    <phoneticPr fontId="2"/>
  </si>
  <si>
    <t>人</t>
    <rPh sb="0" eb="1">
      <t>ニン</t>
    </rPh>
    <phoneticPr fontId="2"/>
  </si>
  <si>
    <t>人、</t>
    <rPh sb="0" eb="1">
      <t>ニン</t>
    </rPh>
    <phoneticPr fontId="2"/>
  </si>
  <si>
    <t>5年前</t>
    <rPh sb="1" eb="2">
      <t>ネン</t>
    </rPh>
    <rPh sb="2" eb="3">
      <t>マエ</t>
    </rPh>
    <phoneticPr fontId="2"/>
  </si>
  <si>
    <t>現況</t>
    <rPh sb="0" eb="2">
      <t>ゲンキョウ</t>
    </rPh>
    <phoneticPr fontId="2"/>
  </si>
  <si>
    <t>総人口グラフ作成設定</t>
    <rPh sb="0" eb="3">
      <t>ソウジンコウ</t>
    </rPh>
    <rPh sb="6" eb="8">
      <t>サクセイ</t>
    </rPh>
    <rPh sb="8" eb="10">
      <t>セッテイ</t>
    </rPh>
    <phoneticPr fontId="2"/>
  </si>
  <si>
    <t>①総人口</t>
    <rPh sb="1" eb="4">
      <t>ソウジンコウ</t>
    </rPh>
    <phoneticPr fontId="2"/>
  </si>
  <si>
    <t>小学生にあたる７～１２歳の人口は、</t>
    <rPh sb="0" eb="3">
      <t>ショウガクセイ</t>
    </rPh>
    <rPh sb="11" eb="12">
      <t>サイ</t>
    </rPh>
    <rPh sb="13" eb="15">
      <t>ジンコウ</t>
    </rPh>
    <phoneticPr fontId="2"/>
  </si>
  <si>
    <t>中学生にあたる１３～１５歳の人口は、</t>
    <rPh sb="0" eb="3">
      <t>チュウガクセイ</t>
    </rPh>
    <rPh sb="12" eb="13">
      <t>サイ</t>
    </rPh>
    <rPh sb="14" eb="16">
      <t>ジンコウ</t>
    </rPh>
    <phoneticPr fontId="2"/>
  </si>
  <si>
    <t>小学生は、</t>
    <rPh sb="0" eb="3">
      <t>ショウガクセイ</t>
    </rPh>
    <phoneticPr fontId="2"/>
  </si>
  <si>
    <t>②子どもの数</t>
    <rPh sb="1" eb="2">
      <t>コ</t>
    </rPh>
    <rPh sb="5" eb="6">
      <t>カズ</t>
    </rPh>
    <phoneticPr fontId="2"/>
  </si>
  <si>
    <t>中学生は、</t>
    <rPh sb="0" eb="3">
      <t>チュウガクセイ</t>
    </rPh>
    <phoneticPr fontId="2"/>
  </si>
  <si>
    <t>人となっています。</t>
    <rPh sb="0" eb="1">
      <t>ニン</t>
    </rPh>
    <phoneticPr fontId="2"/>
  </si>
  <si>
    <t>子どもの数グラフ作成設定</t>
    <rPh sb="0" eb="1">
      <t>コ</t>
    </rPh>
    <rPh sb="4" eb="5">
      <t>カズ</t>
    </rPh>
    <rPh sb="8" eb="10">
      <t>サクセイ</t>
    </rPh>
    <rPh sb="10" eb="12">
      <t>セッテイ</t>
    </rPh>
    <phoneticPr fontId="2"/>
  </si>
  <si>
    <t>小学生</t>
    <rPh sb="0" eb="3">
      <t>ショウガクセイ</t>
    </rPh>
    <phoneticPr fontId="2"/>
  </si>
  <si>
    <t>中学生</t>
    <rPh sb="0" eb="3">
      <t>チュウガクセイ</t>
    </rPh>
    <phoneticPr fontId="2"/>
  </si>
  <si>
    <t>③高齢者の数</t>
    <rPh sb="1" eb="4">
      <t>コウレイシャ</t>
    </rPh>
    <rPh sb="5" eb="6">
      <t>カズ</t>
    </rPh>
    <phoneticPr fontId="2"/>
  </si>
  <si>
    <t>６５歳以上は、</t>
    <rPh sb="2" eb="3">
      <t>サイ</t>
    </rPh>
    <rPh sb="3" eb="5">
      <t>イジョウ</t>
    </rPh>
    <phoneticPr fontId="2"/>
  </si>
  <si>
    <t>人で総人口の</t>
    <rPh sb="0" eb="1">
      <t>ニン</t>
    </rPh>
    <rPh sb="2" eb="5">
      <t>ソウジンコウ</t>
    </rPh>
    <phoneticPr fontId="2"/>
  </si>
  <si>
    <t>です。</t>
    <phoneticPr fontId="2"/>
  </si>
  <si>
    <t>７５歳以上は、</t>
    <rPh sb="2" eb="3">
      <t>サイ</t>
    </rPh>
    <rPh sb="3" eb="5">
      <t>イジョウ</t>
    </rPh>
    <phoneticPr fontId="2"/>
  </si>
  <si>
    <t>65歳以上数</t>
    <rPh sb="2" eb="3">
      <t>サイ</t>
    </rPh>
    <rPh sb="3" eb="5">
      <t>イジョウ</t>
    </rPh>
    <rPh sb="5" eb="6">
      <t>スウ</t>
    </rPh>
    <phoneticPr fontId="2"/>
  </si>
  <si>
    <t>75歳以上数</t>
    <rPh sb="2" eb="3">
      <t>サイ</t>
    </rPh>
    <rPh sb="3" eb="5">
      <t>イジョウ</t>
    </rPh>
    <rPh sb="5" eb="6">
      <t>スウ</t>
    </rPh>
    <phoneticPr fontId="2"/>
  </si>
  <si>
    <t>６５歳以上の割合は、</t>
    <rPh sb="2" eb="3">
      <t>サイ</t>
    </rPh>
    <rPh sb="3" eb="5">
      <t>イジョウ</t>
    </rPh>
    <rPh sb="6" eb="8">
      <t>ワリアイ</t>
    </rPh>
    <phoneticPr fontId="2"/>
  </si>
  <si>
    <t>です。</t>
    <phoneticPr fontId="2"/>
  </si>
  <si>
    <t>７５歳以上の割合は、</t>
    <rPh sb="2" eb="3">
      <t>サイ</t>
    </rPh>
    <rPh sb="3" eb="5">
      <t>イジョウ</t>
    </rPh>
    <rPh sb="6" eb="8">
      <t>ワリアイ</t>
    </rPh>
    <phoneticPr fontId="2"/>
  </si>
  <si>
    <t>65歳以上</t>
    <rPh sb="2" eb="5">
      <t>サイイジョウ</t>
    </rPh>
    <phoneticPr fontId="2"/>
  </si>
  <si>
    <t>高齢者の割合グラフ作成設定</t>
    <rPh sb="0" eb="3">
      <t>コウレイシャ</t>
    </rPh>
    <rPh sb="4" eb="6">
      <t>ワリアイ</t>
    </rPh>
    <rPh sb="9" eb="11">
      <t>サクセイ</t>
    </rPh>
    <rPh sb="11" eb="13">
      <t>セッテイ</t>
    </rPh>
    <phoneticPr fontId="2"/>
  </si>
  <si>
    <t>75歳以上</t>
    <rPh sb="2" eb="3">
      <t>サイ</t>
    </rPh>
    <rPh sb="3" eb="5">
      <t>イジョウ</t>
    </rPh>
    <phoneticPr fontId="2"/>
  </si>
  <si>
    <t>直近5年</t>
    <rPh sb="0" eb="2">
      <t>チョッキン</t>
    </rPh>
    <rPh sb="3" eb="4">
      <t>ネン</t>
    </rPh>
    <phoneticPr fontId="2"/>
  </si>
  <si>
    <t>10年平均</t>
    <rPh sb="2" eb="3">
      <t>ネン</t>
    </rPh>
    <rPh sb="3" eb="5">
      <t>ヘイキン</t>
    </rPh>
    <phoneticPr fontId="2"/>
  </si>
  <si>
    <t>性別</t>
    <rPh sb="0" eb="2">
      <t>セイベツ</t>
    </rPh>
    <phoneticPr fontId="2"/>
  </si>
  <si>
    <t>用いる年次</t>
    <rPh sb="0" eb="1">
      <t>モチ</t>
    </rPh>
    <rPh sb="3" eb="5">
      <t>ネンジ</t>
    </rPh>
    <phoneticPr fontId="2"/>
  </si>
  <si>
    <t>前5年</t>
    <rPh sb="0" eb="1">
      <t>マエ</t>
    </rPh>
    <rPh sb="2" eb="3">
      <t>ネン</t>
    </rPh>
    <phoneticPr fontId="2"/>
  </si>
  <si>
    <t>使用列番号</t>
    <rPh sb="0" eb="2">
      <t>シヨウ</t>
    </rPh>
    <rPh sb="2" eb="3">
      <t>レツ</t>
    </rPh>
    <rPh sb="3" eb="5">
      <t>バンゴウ</t>
    </rPh>
    <phoneticPr fontId="2"/>
  </si>
  <si>
    <t>予測年1</t>
    <rPh sb="0" eb="2">
      <t>ヨソク</t>
    </rPh>
    <rPh sb="2" eb="3">
      <t>ネン</t>
    </rPh>
    <phoneticPr fontId="2"/>
  </si>
  <si>
    <t>予測年2</t>
    <rPh sb="0" eb="2">
      <t>ヨソク</t>
    </rPh>
    <rPh sb="2" eb="3">
      <t>ネン</t>
    </rPh>
    <phoneticPr fontId="2"/>
  </si>
  <si>
    <t>予測年3</t>
    <rPh sb="0" eb="2">
      <t>ヨソク</t>
    </rPh>
    <rPh sb="2" eb="3">
      <t>ネン</t>
    </rPh>
    <phoneticPr fontId="2"/>
  </si>
  <si>
    <t>予測年4</t>
    <rPh sb="0" eb="2">
      <t>ヨソク</t>
    </rPh>
    <rPh sb="2" eb="3">
      <t>ネン</t>
    </rPh>
    <phoneticPr fontId="2"/>
  </si>
  <si>
    <t>20-39歳人口</t>
    <rPh sb="5" eb="6">
      <t>サイ</t>
    </rPh>
    <rPh sb="6" eb="8">
      <t>ジンコウ</t>
    </rPh>
    <phoneticPr fontId="2"/>
  </si>
  <si>
    <t>採用コーホート変化率</t>
    <rPh sb="0" eb="2">
      <t>サイヨウ</t>
    </rPh>
    <rPh sb="7" eb="9">
      <t>ヘンカ</t>
    </rPh>
    <rPh sb="9" eb="10">
      <t>リツ</t>
    </rPh>
    <phoneticPr fontId="2"/>
  </si>
  <si>
    <t>1：直近5年平均、2：10年平均</t>
    <rPh sb="2" eb="4">
      <t>チョッキン</t>
    </rPh>
    <rPh sb="5" eb="6">
      <t>ネン</t>
    </rPh>
    <rPh sb="6" eb="8">
      <t>ヘイキン</t>
    </rPh>
    <rPh sb="13" eb="14">
      <t>ネン</t>
    </rPh>
    <rPh sb="14" eb="16">
      <t>ヘイキン</t>
    </rPh>
    <phoneticPr fontId="2"/>
  </si>
  <si>
    <t>現況の5年後</t>
    <rPh sb="0" eb="2">
      <t>ゲンキョウ</t>
    </rPh>
    <rPh sb="4" eb="6">
      <t>ネンゴ</t>
    </rPh>
    <phoneticPr fontId="2"/>
  </si>
  <si>
    <t>現況の10年後</t>
    <rPh sb="0" eb="2">
      <t>ゲンキョウ</t>
    </rPh>
    <rPh sb="5" eb="6">
      <t>ネン</t>
    </rPh>
    <rPh sb="6" eb="7">
      <t>ゴ</t>
    </rPh>
    <phoneticPr fontId="2"/>
  </si>
  <si>
    <t>現況の15年後</t>
    <rPh sb="0" eb="2">
      <t>ゲンキョウ</t>
    </rPh>
    <rPh sb="5" eb="7">
      <t>ネンゴ</t>
    </rPh>
    <phoneticPr fontId="2"/>
  </si>
  <si>
    <t>現況の20年後</t>
    <rPh sb="0" eb="2">
      <t>ゲンキョウ</t>
    </rPh>
    <rPh sb="5" eb="7">
      <t>ネンゴ</t>
    </rPh>
    <phoneticPr fontId="2"/>
  </si>
  <si>
    <t>現況シート用</t>
    <rPh sb="0" eb="2">
      <t>ゲンキョウ</t>
    </rPh>
    <rPh sb="5" eb="6">
      <t>ヨウ</t>
    </rPh>
    <phoneticPr fontId="2"/>
  </si>
  <si>
    <t>予測結果シート①用</t>
    <rPh sb="0" eb="2">
      <t>ヨソク</t>
    </rPh>
    <rPh sb="2" eb="4">
      <t>ケッカ</t>
    </rPh>
    <rPh sb="8" eb="9">
      <t>ヨウ</t>
    </rPh>
    <phoneticPr fontId="2"/>
  </si>
  <si>
    <t>5年後</t>
    <rPh sb="1" eb="3">
      <t>ネンゴ</t>
    </rPh>
    <phoneticPr fontId="2"/>
  </si>
  <si>
    <t>10年後</t>
    <rPh sb="2" eb="4">
      <t>ネンゴ</t>
    </rPh>
    <phoneticPr fontId="2"/>
  </si>
  <si>
    <t>15年後</t>
    <rPh sb="2" eb="3">
      <t>ネン</t>
    </rPh>
    <rPh sb="3" eb="4">
      <t>ゴ</t>
    </rPh>
    <phoneticPr fontId="2"/>
  </si>
  <si>
    <t>20年後</t>
    <rPh sb="2" eb="4">
      <t>ネンゴ</t>
    </rPh>
    <phoneticPr fontId="2"/>
  </si>
  <si>
    <t>高齢者の人数グラフ作成設定</t>
    <rPh sb="0" eb="3">
      <t>コウレイシャ</t>
    </rPh>
    <rPh sb="4" eb="6">
      <t>ニンズウ</t>
    </rPh>
    <rPh sb="9" eb="11">
      <t>サクセイ</t>
    </rPh>
    <rPh sb="11" eb="13">
      <t>セッテイ</t>
    </rPh>
    <phoneticPr fontId="2"/>
  </si>
  <si>
    <t>75歳以上</t>
    <rPh sb="2" eb="5">
      <t>サイイジョウ</t>
    </rPh>
    <phoneticPr fontId="2"/>
  </si>
  <si>
    <t>④人口ピラミッド</t>
    <rPh sb="1" eb="3">
      <t>ジンコウ</t>
    </rPh>
    <phoneticPr fontId="2"/>
  </si>
  <si>
    <t>人口ピラミッド作成設定</t>
    <rPh sb="0" eb="2">
      <t>ジンコウ</t>
    </rPh>
    <rPh sb="7" eb="9">
      <t>サクセイ</t>
    </rPh>
    <rPh sb="9" eb="11">
      <t>セッテイ</t>
    </rPh>
    <phoneticPr fontId="2"/>
  </si>
  <si>
    <t>使用列</t>
    <rPh sb="0" eb="2">
      <t>シヨウ</t>
    </rPh>
    <rPh sb="2" eb="3">
      <t>レツ</t>
    </rPh>
    <phoneticPr fontId="2"/>
  </si>
  <si>
    <t>年齢</t>
    <rPh sb="0" eb="2">
      <t>ネンレイ</t>
    </rPh>
    <phoneticPr fontId="2"/>
  </si>
  <si>
    <t>トレンド予測結果</t>
    <rPh sb="4" eb="6">
      <t>ヨソク</t>
    </rPh>
    <rPh sb="6" eb="8">
      <t>ケッカ</t>
    </rPh>
    <phoneticPr fontId="2"/>
  </si>
  <si>
    <t>移住受入れ予測結果</t>
    <rPh sb="0" eb="2">
      <t>イジュウ</t>
    </rPh>
    <rPh sb="2" eb="4">
      <t>ウケイ</t>
    </rPh>
    <rPh sb="5" eb="7">
      <t>ヨソク</t>
    </rPh>
    <rPh sb="7" eb="9">
      <t>ケッカ</t>
    </rPh>
    <phoneticPr fontId="2"/>
  </si>
  <si>
    <t>予測結果シート②用</t>
    <rPh sb="0" eb="2">
      <t>ヨソク</t>
    </rPh>
    <rPh sb="2" eb="4">
      <t>ケッカ</t>
    </rPh>
    <rPh sb="8" eb="9">
      <t>ヨウ</t>
    </rPh>
    <phoneticPr fontId="2"/>
  </si>
  <si>
    <t>移住受入を進めた場合</t>
    <rPh sb="0" eb="2">
      <t>イジュウ</t>
    </rPh>
    <rPh sb="2" eb="4">
      <t>ウケイレ</t>
    </rPh>
    <rPh sb="5" eb="6">
      <t>スス</t>
    </rPh>
    <rPh sb="8" eb="10">
      <t>バアイ</t>
    </rPh>
    <phoneticPr fontId="2"/>
  </si>
  <si>
    <t>これまでの傾向が続いた場合</t>
    <rPh sb="5" eb="7">
      <t>ケイコウ</t>
    </rPh>
    <rPh sb="8" eb="9">
      <t>ツヅ</t>
    </rPh>
    <rPh sb="11" eb="13">
      <t>バアイ</t>
    </rPh>
    <phoneticPr fontId="2"/>
  </si>
  <si>
    <t>これまでの傾向が続く場合に比べ、</t>
    <rPh sb="5" eb="7">
      <t>ケイコウ</t>
    </rPh>
    <rPh sb="8" eb="9">
      <t>ツヅ</t>
    </rPh>
    <rPh sb="10" eb="12">
      <t>バアイ</t>
    </rPh>
    <rPh sb="13" eb="14">
      <t>クラ</t>
    </rPh>
    <phoneticPr fontId="2"/>
  </si>
  <si>
    <t>人の増加、</t>
    <rPh sb="0" eb="1">
      <t>ニン</t>
    </rPh>
    <rPh sb="2" eb="4">
      <t>ゾウカ</t>
    </rPh>
    <phoneticPr fontId="2"/>
  </si>
  <si>
    <t>人の増加が見込まれます。</t>
    <rPh sb="0" eb="1">
      <t>ニン</t>
    </rPh>
    <rPh sb="2" eb="4">
      <t>ゾウカ</t>
    </rPh>
    <rPh sb="5" eb="7">
      <t>ミコ</t>
    </rPh>
    <phoneticPr fontId="2"/>
  </si>
  <si>
    <t>・20代後半の夫婦2組（1組は4歳以下の男の子、もう1組は4歳以下の女の子がいる家族）</t>
    <phoneticPr fontId="2"/>
  </si>
  <si>
    <t>・40代前半のシングルマザー（10～14歳の男の子1人と女の子1人がいる家族）</t>
    <rPh sb="3" eb="4">
      <t>ダイ</t>
    </rPh>
    <rPh sb="4" eb="6">
      <t>ゼンハン</t>
    </rPh>
    <rPh sb="20" eb="21">
      <t>サイ</t>
    </rPh>
    <rPh sb="22" eb="23">
      <t>オトコ</t>
    </rPh>
    <rPh sb="24" eb="25">
      <t>コ</t>
    </rPh>
    <rPh sb="26" eb="27">
      <t>ニン</t>
    </rPh>
    <rPh sb="28" eb="29">
      <t>オンナ</t>
    </rPh>
    <rPh sb="30" eb="31">
      <t>コ</t>
    </rPh>
    <rPh sb="31" eb="33">
      <t>ヒトリ</t>
    </rPh>
    <rPh sb="36" eb="38">
      <t>カゾク</t>
    </rPh>
    <phoneticPr fontId="2"/>
  </si>
  <si>
    <t>を受入れる場合は、以下のように入力します。</t>
    <rPh sb="1" eb="3">
      <t>ウケイ</t>
    </rPh>
    <rPh sb="5" eb="7">
      <t>バアイ</t>
    </rPh>
    <rPh sb="9" eb="11">
      <t>イカ</t>
    </rPh>
    <rPh sb="15" eb="17">
      <t>ニュウリョク</t>
    </rPh>
    <phoneticPr fontId="2"/>
  </si>
  <si>
    <t>集計単位コード</t>
    <rPh sb="0" eb="2">
      <t>シュウケイ</t>
    </rPh>
    <rPh sb="2" eb="4">
      <t>タンイ</t>
    </rPh>
    <phoneticPr fontId="2"/>
  </si>
  <si>
    <t>市町村名</t>
    <rPh sb="0" eb="3">
      <t>シチョウソン</t>
    </rPh>
    <rPh sb="3" eb="4">
      <t>メイ</t>
    </rPh>
    <phoneticPr fontId="2"/>
  </si>
  <si>
    <t>集計単位名</t>
    <rPh sb="0" eb="2">
      <t>シュウケイ</t>
    </rPh>
    <rPh sb="2" eb="4">
      <t>タンイ</t>
    </rPh>
    <rPh sb="4" eb="5">
      <t>メイ</t>
    </rPh>
    <phoneticPr fontId="2"/>
  </si>
  <si>
    <t>世帯構成</t>
    <rPh sb="0" eb="2">
      <t>セタイ</t>
    </rPh>
    <rPh sb="2" eb="4">
      <t>コウセイ</t>
    </rPh>
    <phoneticPr fontId="2"/>
  </si>
  <si>
    <t>居住期間</t>
    <rPh sb="0" eb="2">
      <t>キョジュウ</t>
    </rPh>
    <rPh sb="2" eb="4">
      <t>キカン</t>
    </rPh>
    <phoneticPr fontId="2"/>
  </si>
  <si>
    <t>転入者数</t>
    <rPh sb="0" eb="3">
      <t>テンニュウシャ</t>
    </rPh>
    <rPh sb="3" eb="4">
      <t>スウ</t>
    </rPh>
    <phoneticPr fontId="2"/>
  </si>
  <si>
    <t>産業別就業者数</t>
    <rPh sb="0" eb="2">
      <t>サンギョウ</t>
    </rPh>
    <rPh sb="2" eb="3">
      <t>ベツ</t>
    </rPh>
    <rPh sb="3" eb="6">
      <t>シュウギョウシャ</t>
    </rPh>
    <rPh sb="6" eb="7">
      <t>スウ</t>
    </rPh>
    <phoneticPr fontId="2"/>
  </si>
  <si>
    <t>通勤通学先</t>
    <rPh sb="0" eb="2">
      <t>ツウキン</t>
    </rPh>
    <rPh sb="2" eb="4">
      <t>ツウガク</t>
    </rPh>
    <rPh sb="4" eb="5">
      <t>サキ</t>
    </rPh>
    <phoneticPr fontId="2"/>
  </si>
  <si>
    <t>全世帯数</t>
    <rPh sb="0" eb="1">
      <t>ゼン</t>
    </rPh>
    <rPh sb="1" eb="4">
      <t>セタイスウ</t>
    </rPh>
    <phoneticPr fontId="2"/>
  </si>
  <si>
    <t>65歳以上がいる世帯数</t>
    <rPh sb="2" eb="3">
      <t>サイ</t>
    </rPh>
    <rPh sb="3" eb="5">
      <t>イジョウ</t>
    </rPh>
    <rPh sb="8" eb="11">
      <t>セタイスウ</t>
    </rPh>
    <phoneticPr fontId="2"/>
  </si>
  <si>
    <t>65歳以上夫婦のみ世帯数</t>
    <rPh sb="2" eb="3">
      <t>サイ</t>
    </rPh>
    <rPh sb="3" eb="5">
      <t>イジョウ</t>
    </rPh>
    <rPh sb="5" eb="7">
      <t>フウフ</t>
    </rPh>
    <rPh sb="9" eb="12">
      <t>セタイスウ</t>
    </rPh>
    <phoneticPr fontId="2"/>
  </si>
  <si>
    <t>65歳以上一人暮らし世帯数</t>
    <rPh sb="2" eb="3">
      <t>サイ</t>
    </rPh>
    <rPh sb="3" eb="5">
      <t>イジョウ</t>
    </rPh>
    <rPh sb="5" eb="7">
      <t>ヒトリ</t>
    </rPh>
    <rPh sb="7" eb="8">
      <t>グ</t>
    </rPh>
    <rPh sb="10" eb="13">
      <t>セタイスウ</t>
    </rPh>
    <phoneticPr fontId="2"/>
  </si>
  <si>
    <t>65歳以上世帯率</t>
    <rPh sb="2" eb="3">
      <t>サイ</t>
    </rPh>
    <rPh sb="3" eb="5">
      <t>イジョウ</t>
    </rPh>
    <rPh sb="5" eb="7">
      <t>セタイ</t>
    </rPh>
    <rPh sb="7" eb="8">
      <t>リツ</t>
    </rPh>
    <phoneticPr fontId="2"/>
  </si>
  <si>
    <t>65歳以上夫婦のみ世帯率</t>
    <rPh sb="2" eb="3">
      <t>サイ</t>
    </rPh>
    <rPh sb="3" eb="5">
      <t>イジョウ</t>
    </rPh>
    <rPh sb="5" eb="7">
      <t>フウフ</t>
    </rPh>
    <rPh sb="9" eb="11">
      <t>セタイ</t>
    </rPh>
    <rPh sb="11" eb="12">
      <t>リツ</t>
    </rPh>
    <phoneticPr fontId="2"/>
  </si>
  <si>
    <t>65歳以上一人暮らし世帯率</t>
    <rPh sb="2" eb="3">
      <t>サイ</t>
    </rPh>
    <rPh sb="3" eb="5">
      <t>イジョウ</t>
    </rPh>
    <rPh sb="5" eb="7">
      <t>ヒトリ</t>
    </rPh>
    <rPh sb="7" eb="8">
      <t>グ</t>
    </rPh>
    <rPh sb="10" eb="12">
      <t>セタイ</t>
    </rPh>
    <rPh sb="12" eb="13">
      <t>リツ</t>
    </rPh>
    <phoneticPr fontId="2"/>
  </si>
  <si>
    <t>常住者総数</t>
    <rPh sb="0" eb="2">
      <t>ジョウジュウ</t>
    </rPh>
    <rPh sb="2" eb="3">
      <t>シャ</t>
    </rPh>
    <rPh sb="3" eb="5">
      <t>ソウスウ</t>
    </rPh>
    <phoneticPr fontId="2"/>
  </si>
  <si>
    <t>出生時から</t>
    <rPh sb="0" eb="2">
      <t>シュッショウ</t>
    </rPh>
    <rPh sb="2" eb="3">
      <t>ジ</t>
    </rPh>
    <phoneticPr fontId="2"/>
  </si>
  <si>
    <t>10年未満</t>
    <rPh sb="2" eb="3">
      <t>ネン</t>
    </rPh>
    <rPh sb="3" eb="5">
      <t>ミマン</t>
    </rPh>
    <phoneticPr fontId="2"/>
  </si>
  <si>
    <t>10年以上</t>
    <rPh sb="2" eb="3">
      <t>ネン</t>
    </rPh>
    <rPh sb="3" eb="5">
      <t>イジョウ</t>
    </rPh>
    <phoneticPr fontId="2"/>
  </si>
  <si>
    <t>出生時から居住率</t>
    <rPh sb="0" eb="2">
      <t>シュッセイ</t>
    </rPh>
    <rPh sb="2" eb="3">
      <t>ジ</t>
    </rPh>
    <rPh sb="5" eb="7">
      <t>キョジュウ</t>
    </rPh>
    <rPh sb="7" eb="8">
      <t>リツ</t>
    </rPh>
    <phoneticPr fontId="2"/>
  </si>
  <si>
    <t>10年未満居住率</t>
    <rPh sb="2" eb="3">
      <t>ネン</t>
    </rPh>
    <rPh sb="3" eb="5">
      <t>ミマン</t>
    </rPh>
    <rPh sb="5" eb="7">
      <t>キョジュウ</t>
    </rPh>
    <rPh sb="7" eb="8">
      <t>リツ</t>
    </rPh>
    <phoneticPr fontId="2"/>
  </si>
  <si>
    <t>10年以上居住率</t>
    <rPh sb="2" eb="3">
      <t>ネン</t>
    </rPh>
    <rPh sb="3" eb="5">
      <t>イジョウ</t>
    </rPh>
    <rPh sb="5" eb="7">
      <t>キョジュウ</t>
    </rPh>
    <rPh sb="7" eb="8">
      <t>リツ</t>
    </rPh>
    <phoneticPr fontId="2"/>
  </si>
  <si>
    <t>自市町村内からの転入者数</t>
    <rPh sb="0" eb="1">
      <t>ジ</t>
    </rPh>
    <rPh sb="1" eb="4">
      <t>シチョウソン</t>
    </rPh>
    <rPh sb="4" eb="5">
      <t>ナイ</t>
    </rPh>
    <rPh sb="8" eb="11">
      <t>テンニュウシャ</t>
    </rPh>
    <rPh sb="11" eb="12">
      <t>スウ</t>
    </rPh>
    <phoneticPr fontId="2"/>
  </si>
  <si>
    <t>県内他市町村からの転入者数</t>
    <rPh sb="0" eb="2">
      <t>ケンナイ</t>
    </rPh>
    <rPh sb="2" eb="3">
      <t>タ</t>
    </rPh>
    <rPh sb="3" eb="6">
      <t>シチョウソン</t>
    </rPh>
    <rPh sb="9" eb="12">
      <t>テンニュウシャ</t>
    </rPh>
    <rPh sb="12" eb="13">
      <t>スウ</t>
    </rPh>
    <phoneticPr fontId="2"/>
  </si>
  <si>
    <t>他県からの転入者数</t>
    <rPh sb="0" eb="2">
      <t>タケン</t>
    </rPh>
    <rPh sb="5" eb="8">
      <t>テンニュウシャ</t>
    </rPh>
    <rPh sb="8" eb="9">
      <t>スウ</t>
    </rPh>
    <phoneticPr fontId="2"/>
  </si>
  <si>
    <t>国外からの転入者数</t>
    <rPh sb="0" eb="2">
      <t>コクガイ</t>
    </rPh>
    <rPh sb="5" eb="8">
      <t>テンニュウシャ</t>
    </rPh>
    <rPh sb="8" eb="9">
      <t>スウ</t>
    </rPh>
    <phoneticPr fontId="2"/>
  </si>
  <si>
    <t>転入者数計</t>
    <rPh sb="0" eb="3">
      <t>テンニュウシャ</t>
    </rPh>
    <rPh sb="3" eb="4">
      <t>スウ</t>
    </rPh>
    <rPh sb="4" eb="5">
      <t>ケイ</t>
    </rPh>
    <phoneticPr fontId="2"/>
  </si>
  <si>
    <t>常住者総数（男）</t>
    <rPh sb="0" eb="2">
      <t>ジョウジュウ</t>
    </rPh>
    <rPh sb="2" eb="3">
      <t>シャ</t>
    </rPh>
    <rPh sb="3" eb="5">
      <t>ソウスウ</t>
    </rPh>
    <rPh sb="6" eb="7">
      <t>オトコ</t>
    </rPh>
    <phoneticPr fontId="2"/>
  </si>
  <si>
    <t>自市町村内からの転入者数（男）</t>
    <rPh sb="0" eb="1">
      <t>ジ</t>
    </rPh>
    <rPh sb="1" eb="4">
      <t>シチョウソン</t>
    </rPh>
    <rPh sb="4" eb="5">
      <t>ナイ</t>
    </rPh>
    <rPh sb="8" eb="11">
      <t>テンニュウシャ</t>
    </rPh>
    <rPh sb="11" eb="12">
      <t>スウ</t>
    </rPh>
    <rPh sb="13" eb="14">
      <t>オトコ</t>
    </rPh>
    <phoneticPr fontId="2"/>
  </si>
  <si>
    <t>県内他市町村からの転入者数（男）</t>
    <rPh sb="0" eb="2">
      <t>ケンナイ</t>
    </rPh>
    <rPh sb="2" eb="3">
      <t>タ</t>
    </rPh>
    <rPh sb="3" eb="6">
      <t>シチョウソン</t>
    </rPh>
    <rPh sb="9" eb="12">
      <t>テンニュウシャ</t>
    </rPh>
    <rPh sb="12" eb="13">
      <t>スウ</t>
    </rPh>
    <rPh sb="14" eb="15">
      <t>オトコ</t>
    </rPh>
    <phoneticPr fontId="2"/>
  </si>
  <si>
    <t>他県からの転入者数（男）</t>
    <rPh sb="0" eb="2">
      <t>タケン</t>
    </rPh>
    <rPh sb="5" eb="8">
      <t>テンニュウシャ</t>
    </rPh>
    <rPh sb="8" eb="9">
      <t>スウ</t>
    </rPh>
    <rPh sb="10" eb="11">
      <t>オトコ</t>
    </rPh>
    <phoneticPr fontId="2"/>
  </si>
  <si>
    <t>国外からの転入者数（男）</t>
    <rPh sb="0" eb="2">
      <t>コクガイ</t>
    </rPh>
    <rPh sb="5" eb="8">
      <t>テンニュウシャ</t>
    </rPh>
    <rPh sb="8" eb="9">
      <t>スウ</t>
    </rPh>
    <rPh sb="10" eb="11">
      <t>オトコ</t>
    </rPh>
    <phoneticPr fontId="2"/>
  </si>
  <si>
    <t>転入者数計（男）</t>
    <rPh sb="0" eb="3">
      <t>テンニュウシャ</t>
    </rPh>
    <rPh sb="3" eb="4">
      <t>スウ</t>
    </rPh>
    <rPh sb="4" eb="5">
      <t>ケイ</t>
    </rPh>
    <rPh sb="6" eb="7">
      <t>オトコ</t>
    </rPh>
    <phoneticPr fontId="2"/>
  </si>
  <si>
    <t>常住者総数（女）</t>
    <rPh sb="0" eb="2">
      <t>ジョウジュウ</t>
    </rPh>
    <rPh sb="2" eb="3">
      <t>シャ</t>
    </rPh>
    <rPh sb="3" eb="5">
      <t>ソウスウ</t>
    </rPh>
    <phoneticPr fontId="2"/>
  </si>
  <si>
    <t>自市町村内からの転入者数（女）</t>
    <rPh sb="0" eb="1">
      <t>ジ</t>
    </rPh>
    <rPh sb="1" eb="4">
      <t>シチョウソン</t>
    </rPh>
    <rPh sb="4" eb="5">
      <t>ナイ</t>
    </rPh>
    <rPh sb="8" eb="11">
      <t>テンニュウシャ</t>
    </rPh>
    <rPh sb="11" eb="12">
      <t>スウ</t>
    </rPh>
    <phoneticPr fontId="2"/>
  </si>
  <si>
    <t>県内他市町村からの転入者数（女）</t>
    <rPh sb="0" eb="2">
      <t>ケンナイ</t>
    </rPh>
    <rPh sb="2" eb="3">
      <t>タ</t>
    </rPh>
    <rPh sb="3" eb="6">
      <t>シチョウソン</t>
    </rPh>
    <rPh sb="9" eb="12">
      <t>テンニュウシャ</t>
    </rPh>
    <rPh sb="12" eb="13">
      <t>スウ</t>
    </rPh>
    <phoneticPr fontId="2"/>
  </si>
  <si>
    <t>他県からの転入者数（女）</t>
    <rPh sb="0" eb="2">
      <t>タケン</t>
    </rPh>
    <rPh sb="5" eb="8">
      <t>テンニュウシャ</t>
    </rPh>
    <rPh sb="8" eb="9">
      <t>スウ</t>
    </rPh>
    <phoneticPr fontId="2"/>
  </si>
  <si>
    <t>国外からの転入者数（女）</t>
    <rPh sb="0" eb="2">
      <t>コクガイ</t>
    </rPh>
    <rPh sb="5" eb="8">
      <t>テンニュウシャ</t>
    </rPh>
    <rPh sb="8" eb="9">
      <t>スウ</t>
    </rPh>
    <phoneticPr fontId="2"/>
  </si>
  <si>
    <t>転入者数計（女）</t>
    <rPh sb="0" eb="3">
      <t>テンニュウシャ</t>
    </rPh>
    <rPh sb="3" eb="4">
      <t>スウ</t>
    </rPh>
    <rPh sb="4" eb="5">
      <t>ケイ</t>
    </rPh>
    <phoneticPr fontId="2"/>
  </si>
  <si>
    <t>常住者に占める転入者割合</t>
    <rPh sb="0" eb="2">
      <t>ジョウジュウ</t>
    </rPh>
    <rPh sb="2" eb="3">
      <t>シャ</t>
    </rPh>
    <rPh sb="4" eb="5">
      <t>シ</t>
    </rPh>
    <rPh sb="7" eb="9">
      <t>テンニュウ</t>
    </rPh>
    <rPh sb="9" eb="10">
      <t>シャ</t>
    </rPh>
    <rPh sb="10" eb="12">
      <t>ワリアイ</t>
    </rPh>
    <phoneticPr fontId="2"/>
  </si>
  <si>
    <t>転入者のうち県内他市町村からの転入割合</t>
    <rPh sb="0" eb="3">
      <t>テンニュウシャ</t>
    </rPh>
    <rPh sb="6" eb="8">
      <t>ケンナイ</t>
    </rPh>
    <rPh sb="8" eb="9">
      <t>タ</t>
    </rPh>
    <rPh sb="9" eb="12">
      <t>シチョウソン</t>
    </rPh>
    <rPh sb="15" eb="17">
      <t>テンニュウ</t>
    </rPh>
    <rPh sb="17" eb="19">
      <t>ワリアイ</t>
    </rPh>
    <phoneticPr fontId="2"/>
  </si>
  <si>
    <t>転入者のうち他県からの転入割合</t>
    <rPh sb="0" eb="3">
      <t>テンニュウシャ</t>
    </rPh>
    <rPh sb="6" eb="8">
      <t>タケン</t>
    </rPh>
    <rPh sb="11" eb="13">
      <t>テンニュウ</t>
    </rPh>
    <rPh sb="13" eb="15">
      <t>ワリアイ</t>
    </rPh>
    <phoneticPr fontId="2"/>
  </si>
  <si>
    <t>転入者のうち国外からの転入割合</t>
    <rPh sb="0" eb="3">
      <t>テンニュウシャ</t>
    </rPh>
    <rPh sb="6" eb="8">
      <t>コクガイ</t>
    </rPh>
    <rPh sb="11" eb="13">
      <t>テンニュウ</t>
    </rPh>
    <rPh sb="13" eb="15">
      <t>ワリアイ</t>
    </rPh>
    <phoneticPr fontId="2"/>
  </si>
  <si>
    <t>転入者のうち男性の割合</t>
    <rPh sb="0" eb="3">
      <t>テンニュウシャ</t>
    </rPh>
    <rPh sb="6" eb="8">
      <t>ダンセイ</t>
    </rPh>
    <rPh sb="9" eb="11">
      <t>ワリアイ</t>
    </rPh>
    <phoneticPr fontId="2"/>
  </si>
  <si>
    <t>転入者のうち女性の割合</t>
    <rPh sb="0" eb="3">
      <t>テンニュウシャ</t>
    </rPh>
    <rPh sb="6" eb="8">
      <t>ジョセイ</t>
    </rPh>
    <rPh sb="9" eb="11">
      <t>ワリアイ</t>
    </rPh>
    <phoneticPr fontId="2"/>
  </si>
  <si>
    <t>就業者数</t>
    <rPh sb="0" eb="3">
      <t>シュウギョウシャ</t>
    </rPh>
    <rPh sb="3" eb="4">
      <t>スウ</t>
    </rPh>
    <phoneticPr fontId="2"/>
  </si>
  <si>
    <t>Ａ　農業，林業</t>
  </si>
  <si>
    <t>Ｂ　漁業</t>
  </si>
  <si>
    <t>Ｃ　鉱業，採石業，砂利採取業</t>
  </si>
  <si>
    <t>Ｄ　建設業</t>
  </si>
  <si>
    <t>Ｅ　製造業</t>
  </si>
  <si>
    <t>Ｆ　電気・ガス・熱供給・水道業</t>
  </si>
  <si>
    <t>Ｇ　情報通信業</t>
  </si>
  <si>
    <t>Ｈ　運輸業，郵便業</t>
  </si>
  <si>
    <t>Ｉ　卸売業，小売業</t>
  </si>
  <si>
    <t>Ｊ　金融業，保険業</t>
  </si>
  <si>
    <t>Ｋ　不動産業，物品賃貸業</t>
  </si>
  <si>
    <t>Ｌ　学術研究，専門・技術サービス業</t>
  </si>
  <si>
    <t>Ｍ　宿泊業，飲食サービス業</t>
  </si>
  <si>
    <t>Ｎ　生活関連サービス業，娯楽業</t>
  </si>
  <si>
    <t>Ｏ　教育，学習支援業</t>
  </si>
  <si>
    <t>Ｐ　医療，福祉</t>
  </si>
  <si>
    <t>Ｑ　複合サービス事業</t>
  </si>
  <si>
    <t>Ｒ　サービス業（他に分類されないもの）</t>
  </si>
  <si>
    <t>Ｓ　公務（他に分類されるものを除く）</t>
  </si>
  <si>
    <t>15歳以上就業者数</t>
    <rPh sb="2" eb="3">
      <t>サイ</t>
    </rPh>
    <rPh sb="3" eb="5">
      <t>イジョウ</t>
    </rPh>
    <rPh sb="5" eb="7">
      <t>シュウギョウ</t>
    </rPh>
    <rPh sb="7" eb="8">
      <t>シャ</t>
    </rPh>
    <rPh sb="8" eb="9">
      <t>スウ</t>
    </rPh>
    <phoneticPr fontId="2"/>
  </si>
  <si>
    <t>自市町村村内で就業</t>
    <rPh sb="0" eb="1">
      <t>ジ</t>
    </rPh>
    <rPh sb="1" eb="4">
      <t>シチョウソン</t>
    </rPh>
    <rPh sb="4" eb="5">
      <t>ムラ</t>
    </rPh>
    <rPh sb="5" eb="6">
      <t>ナイ</t>
    </rPh>
    <rPh sb="7" eb="9">
      <t>シュウギョウ</t>
    </rPh>
    <phoneticPr fontId="2"/>
  </si>
  <si>
    <t>県内他市町村で就業</t>
    <rPh sb="0" eb="2">
      <t>ケンナイ</t>
    </rPh>
    <rPh sb="2" eb="3">
      <t>タ</t>
    </rPh>
    <rPh sb="3" eb="6">
      <t>シチョウソン</t>
    </rPh>
    <rPh sb="7" eb="9">
      <t>シュウギョウ</t>
    </rPh>
    <phoneticPr fontId="2"/>
  </si>
  <si>
    <t>他県で就業</t>
    <rPh sb="0" eb="2">
      <t>タケン</t>
    </rPh>
    <rPh sb="3" eb="5">
      <t>シュウギョウ</t>
    </rPh>
    <phoneticPr fontId="2"/>
  </si>
  <si>
    <t>15歳以上通学者数</t>
    <rPh sb="2" eb="3">
      <t>サイ</t>
    </rPh>
    <rPh sb="3" eb="5">
      <t>イジョウ</t>
    </rPh>
    <rPh sb="5" eb="8">
      <t>ツウガクシャ</t>
    </rPh>
    <rPh sb="8" eb="9">
      <t>スウ</t>
    </rPh>
    <phoneticPr fontId="2"/>
  </si>
  <si>
    <t>自市町村内へ通学</t>
    <rPh sb="0" eb="1">
      <t>ジ</t>
    </rPh>
    <rPh sb="1" eb="4">
      <t>シチョウソン</t>
    </rPh>
    <rPh sb="4" eb="5">
      <t>ナイ</t>
    </rPh>
    <rPh sb="6" eb="8">
      <t>ツウガク</t>
    </rPh>
    <phoneticPr fontId="2"/>
  </si>
  <si>
    <t>県内他市町村へ通学</t>
    <rPh sb="0" eb="2">
      <t>ケンナイ</t>
    </rPh>
    <rPh sb="2" eb="3">
      <t>タ</t>
    </rPh>
    <rPh sb="3" eb="6">
      <t>シチョウソン</t>
    </rPh>
    <rPh sb="7" eb="9">
      <t>ツウガク</t>
    </rPh>
    <phoneticPr fontId="2"/>
  </si>
  <si>
    <t>県外へ通学</t>
    <rPh sb="0" eb="2">
      <t>ケンガイ</t>
    </rPh>
    <rPh sb="3" eb="5">
      <t>ツウガク</t>
    </rPh>
    <phoneticPr fontId="2"/>
  </si>
  <si>
    <t>自市町村内で就業割合</t>
    <rPh sb="0" eb="1">
      <t>ジ</t>
    </rPh>
    <rPh sb="1" eb="4">
      <t>シチョウソン</t>
    </rPh>
    <rPh sb="4" eb="5">
      <t>ナイ</t>
    </rPh>
    <rPh sb="6" eb="8">
      <t>シュウギョウ</t>
    </rPh>
    <rPh sb="8" eb="10">
      <t>ワリアイ</t>
    </rPh>
    <phoneticPr fontId="2"/>
  </si>
  <si>
    <t>県内他市町村で就業割合</t>
    <rPh sb="0" eb="2">
      <t>ケンナイ</t>
    </rPh>
    <rPh sb="2" eb="3">
      <t>タ</t>
    </rPh>
    <rPh sb="3" eb="6">
      <t>シチョウソン</t>
    </rPh>
    <rPh sb="7" eb="9">
      <t>シュウギョウ</t>
    </rPh>
    <rPh sb="9" eb="11">
      <t>ワリアイ</t>
    </rPh>
    <phoneticPr fontId="2"/>
  </si>
  <si>
    <t>他県で就業割合</t>
    <rPh sb="0" eb="2">
      <t>タケン</t>
    </rPh>
    <rPh sb="3" eb="5">
      <t>シュウギョウ</t>
    </rPh>
    <rPh sb="5" eb="7">
      <t>ワリアイ</t>
    </rPh>
    <phoneticPr fontId="2"/>
  </si>
  <si>
    <t>自市町村内へ通学割合</t>
    <rPh sb="0" eb="1">
      <t>ジ</t>
    </rPh>
    <rPh sb="1" eb="4">
      <t>シチョウソン</t>
    </rPh>
    <rPh sb="4" eb="5">
      <t>ナイ</t>
    </rPh>
    <rPh sb="6" eb="8">
      <t>ツウガク</t>
    </rPh>
    <rPh sb="8" eb="10">
      <t>ワリアイ</t>
    </rPh>
    <phoneticPr fontId="2"/>
  </si>
  <si>
    <t>県内他市町村へ通学割合</t>
    <rPh sb="0" eb="2">
      <t>ケンナイ</t>
    </rPh>
    <rPh sb="2" eb="3">
      <t>タ</t>
    </rPh>
    <rPh sb="3" eb="6">
      <t>シチョウソン</t>
    </rPh>
    <rPh sb="7" eb="9">
      <t>ツウガク</t>
    </rPh>
    <rPh sb="9" eb="11">
      <t>ワリアイ</t>
    </rPh>
    <phoneticPr fontId="2"/>
  </si>
  <si>
    <t>県外へ通学割合</t>
    <rPh sb="0" eb="2">
      <t>ケンガイ</t>
    </rPh>
    <rPh sb="3" eb="5">
      <t>ツウガク</t>
    </rPh>
    <rPh sb="5" eb="7">
      <t>ワリアイ</t>
    </rPh>
    <phoneticPr fontId="2"/>
  </si>
  <si>
    <t>②居住期間</t>
    <rPh sb="1" eb="3">
      <t>キョジュウ</t>
    </rPh>
    <rPh sb="3" eb="5">
      <t>キカン</t>
    </rPh>
    <phoneticPr fontId="2"/>
  </si>
  <si>
    <t>③転入者</t>
    <rPh sb="1" eb="4">
      <t>テンニュウシャ</t>
    </rPh>
    <phoneticPr fontId="2"/>
  </si>
  <si>
    <t>④産業別就業者の割合</t>
    <rPh sb="1" eb="3">
      <t>サンギョウ</t>
    </rPh>
    <rPh sb="3" eb="4">
      <t>ベツ</t>
    </rPh>
    <rPh sb="4" eb="7">
      <t>シュウギョウシャ</t>
    </rPh>
    <rPh sb="8" eb="10">
      <t>ワリアイ</t>
    </rPh>
    <phoneticPr fontId="2"/>
  </si>
  <si>
    <t>漁業</t>
    <phoneticPr fontId="2"/>
  </si>
  <si>
    <t>建設業</t>
    <phoneticPr fontId="2"/>
  </si>
  <si>
    <t>製造業</t>
    <phoneticPr fontId="2"/>
  </si>
  <si>
    <t>電気・ガス・熱供給・水道業</t>
    <phoneticPr fontId="2"/>
  </si>
  <si>
    <t>情報通信業</t>
    <phoneticPr fontId="2"/>
  </si>
  <si>
    <t>複合サービス事業</t>
    <phoneticPr fontId="2"/>
  </si>
  <si>
    <t>公務</t>
    <phoneticPr fontId="2"/>
  </si>
  <si>
    <t>①</t>
    <phoneticPr fontId="2"/>
  </si>
  <si>
    <t>「現況シート」→「将来予測シート①」→「将来予測シート②」→</t>
    <phoneticPr fontId="2"/>
  </si>
  <si>
    <t>②</t>
    <phoneticPr fontId="2"/>
  </si>
  <si>
    <t>③</t>
    <phoneticPr fontId="2"/>
  </si>
  <si>
    <t>なお、各シートには感じたことなどを書き込んでいただける</t>
    <rPh sb="3" eb="4">
      <t>カク</t>
    </rPh>
    <rPh sb="9" eb="10">
      <t>カン</t>
    </rPh>
    <rPh sb="17" eb="18">
      <t>カ</t>
    </rPh>
    <rPh sb="19" eb="20">
      <t>コ</t>
    </rPh>
    <phoneticPr fontId="2"/>
  </si>
  <si>
    <t>スペースも用意しています。</t>
    <rPh sb="5" eb="7">
      <t>ヨウイ</t>
    </rPh>
    <phoneticPr fontId="2"/>
  </si>
  <si>
    <t>発言をしづらい場合は、そちらにご意見を書いていただいても</t>
    <rPh sb="0" eb="2">
      <t>ハツゲン</t>
    </rPh>
    <rPh sb="7" eb="9">
      <t>バアイ</t>
    </rPh>
    <rPh sb="16" eb="18">
      <t>イケン</t>
    </rPh>
    <rPh sb="19" eb="20">
      <t>カ</t>
    </rPh>
    <phoneticPr fontId="2"/>
  </si>
  <si>
    <t>構いません。</t>
    <rPh sb="0" eb="1">
      <t>カマ</t>
    </rPh>
    <phoneticPr fontId="2"/>
  </si>
  <si>
    <t>それでは、まず、</t>
    <phoneticPr fontId="2"/>
  </si>
  <si>
    <t>の「今」を確認してみましょう。</t>
    <rPh sb="2" eb="3">
      <t>イマ</t>
    </rPh>
    <rPh sb="5" eb="7">
      <t>カクニン</t>
    </rPh>
    <phoneticPr fontId="2"/>
  </si>
  <si>
    <t>と比べ</t>
    <rPh sb="1" eb="2">
      <t>クラ</t>
    </rPh>
    <phoneticPr fontId="2"/>
  </si>
  <si>
    <t>Ｑ．この10年で人口がこのように推移した理由は何だろう？</t>
    <rPh sb="6" eb="7">
      <t>ネン</t>
    </rPh>
    <rPh sb="8" eb="10">
      <t>ジンコウ</t>
    </rPh>
    <rPh sb="16" eb="18">
      <t>スイイ</t>
    </rPh>
    <rPh sb="20" eb="22">
      <t>リユウ</t>
    </rPh>
    <rPh sb="23" eb="24">
      <t>ナニ</t>
    </rPh>
    <phoneticPr fontId="2"/>
  </si>
  <si>
    <t>と比較すると、</t>
    <rPh sb="1" eb="3">
      <t>ヒカク</t>
    </rPh>
    <phoneticPr fontId="2"/>
  </si>
  <si>
    <t>それでは、次に、これまでの傾向が続いた場合、</t>
    <rPh sb="5" eb="6">
      <t>ツギ</t>
    </rPh>
    <rPh sb="13" eb="15">
      <t>ケイコウ</t>
    </rPh>
    <rPh sb="16" eb="17">
      <t>ツヅ</t>
    </rPh>
    <rPh sb="19" eb="21">
      <t>バアイ</t>
    </rPh>
    <phoneticPr fontId="2"/>
  </si>
  <si>
    <t>の将来人口はどうなるのでしょうか？</t>
    <rPh sb="1" eb="3">
      <t>ショウライ</t>
    </rPh>
    <rPh sb="3" eb="5">
      <t>ジンコウ</t>
    </rPh>
    <phoneticPr fontId="2"/>
  </si>
  <si>
    <t>人と予想されます。</t>
    <rPh sb="0" eb="1">
      <t>ニン</t>
    </rPh>
    <rPh sb="2" eb="4">
      <t>ヨソウ</t>
    </rPh>
    <phoneticPr fontId="2"/>
  </si>
  <si>
    <t>人となる見込みです。</t>
    <rPh sb="0" eb="1">
      <t>ニン</t>
    </rPh>
    <rPh sb="4" eb="6">
      <t>ミコ</t>
    </rPh>
    <phoneticPr fontId="2"/>
  </si>
  <si>
    <t>人、</t>
    <rPh sb="0" eb="1">
      <t>ニン</t>
    </rPh>
    <phoneticPr fontId="2"/>
  </si>
  <si>
    <t>中学生にあたる13～15歳の人口は、</t>
    <rPh sb="0" eb="3">
      <t>チュウガクセイ</t>
    </rPh>
    <rPh sb="12" eb="13">
      <t>サイ</t>
    </rPh>
    <rPh sb="14" eb="16">
      <t>ジンコウ</t>
    </rPh>
    <phoneticPr fontId="2"/>
  </si>
  <si>
    <t>人と</t>
    <rPh sb="0" eb="1">
      <t>ニン</t>
    </rPh>
    <phoneticPr fontId="2"/>
  </si>
  <si>
    <t>予想されます。</t>
    <rPh sb="0" eb="2">
      <t>ヨソウ</t>
    </rPh>
    <phoneticPr fontId="2"/>
  </si>
  <si>
    <t>小学生にあたる7～12歳の人口は、</t>
    <rPh sb="0" eb="3">
      <t>ショウガクセイ</t>
    </rPh>
    <rPh sb="11" eb="12">
      <t>サイ</t>
    </rPh>
    <rPh sb="13" eb="15">
      <t>ジンコウ</t>
    </rPh>
    <phoneticPr fontId="2"/>
  </si>
  <si>
    <t>65歳以上は、</t>
    <rPh sb="2" eb="3">
      <t>サイ</t>
    </rPh>
    <rPh sb="3" eb="5">
      <t>イジョウ</t>
    </rPh>
    <phoneticPr fontId="2"/>
  </si>
  <si>
    <t>人で総人口の</t>
    <rPh sb="0" eb="1">
      <t>ニン</t>
    </rPh>
    <rPh sb="2" eb="5">
      <t>ソウジンコウ</t>
    </rPh>
    <phoneticPr fontId="2"/>
  </si>
  <si>
    <t>、</t>
    <phoneticPr fontId="2"/>
  </si>
  <si>
    <t>75歳以上は、</t>
    <rPh sb="2" eb="3">
      <t>サイ</t>
    </rPh>
    <rPh sb="3" eb="5">
      <t>イジョウ</t>
    </rPh>
    <phoneticPr fontId="2"/>
  </si>
  <si>
    <t>と</t>
    <phoneticPr fontId="2"/>
  </si>
  <si>
    <t>男性</t>
    <rPh sb="0" eb="2">
      <t>ダンセイ</t>
    </rPh>
    <phoneticPr fontId="2"/>
  </si>
  <si>
    <t>女性</t>
    <rPh sb="0" eb="2">
      <t>ジョセイ</t>
    </rPh>
    <phoneticPr fontId="2"/>
  </si>
  <si>
    <t>使用列番号</t>
    <rPh sb="0" eb="2">
      <t>シヨウ</t>
    </rPh>
    <rPh sb="2" eb="3">
      <t>レツ</t>
    </rPh>
    <rPh sb="3" eb="5">
      <t>バンゴウ</t>
    </rPh>
    <phoneticPr fontId="2"/>
  </si>
  <si>
    <t>地域においてどのような問題が生じるだろうか？</t>
    <rPh sb="0" eb="2">
      <t>チイキ</t>
    </rPh>
    <rPh sb="11" eb="13">
      <t>モンダイ</t>
    </rPh>
    <rPh sb="14" eb="15">
      <t>ショウ</t>
    </rPh>
    <phoneticPr fontId="2"/>
  </si>
  <si>
    <t>（例）</t>
    <rPh sb="1" eb="2">
      <t>レイ</t>
    </rPh>
    <phoneticPr fontId="2"/>
  </si>
  <si>
    <t>の総人口は、</t>
    <rPh sb="1" eb="2">
      <t>ソウ</t>
    </rPh>
    <rPh sb="2" eb="4">
      <t>ジンコウ</t>
    </rPh>
    <phoneticPr fontId="2"/>
  </si>
  <si>
    <t>の将来人口がどう変わるかを見てみましょう。</t>
    <rPh sb="1" eb="3">
      <t>ショウライ</t>
    </rPh>
    <rPh sb="3" eb="5">
      <t>ジンコウ</t>
    </rPh>
    <rPh sb="8" eb="9">
      <t>カ</t>
    </rPh>
    <rPh sb="13" eb="14">
      <t>ミ</t>
    </rPh>
    <phoneticPr fontId="2"/>
  </si>
  <si>
    <t>移住者数の設定</t>
    <rPh sb="0" eb="3">
      <t>イジュウシャ</t>
    </rPh>
    <rPh sb="3" eb="4">
      <t>スウ</t>
    </rPh>
    <rPh sb="5" eb="7">
      <t>セッテイ</t>
    </rPh>
    <phoneticPr fontId="2"/>
  </si>
  <si>
    <t>次に、移住者の受入を進めた場合に、</t>
    <rPh sb="0" eb="1">
      <t>ツギ</t>
    </rPh>
    <rPh sb="3" eb="6">
      <t>イジュウシャ</t>
    </rPh>
    <rPh sb="7" eb="9">
      <t>ウケイレ</t>
    </rPh>
    <rPh sb="10" eb="11">
      <t>スス</t>
    </rPh>
    <rPh sb="13" eb="15">
      <t>バアイ</t>
    </rPh>
    <phoneticPr fontId="2"/>
  </si>
  <si>
    <t>はじめに、どの程度の移住者を受入れるかを設定しましょう。</t>
    <rPh sb="7" eb="9">
      <t>テイド</t>
    </rPh>
    <rPh sb="10" eb="13">
      <t>イジュウシャ</t>
    </rPh>
    <rPh sb="14" eb="16">
      <t>ウケイ</t>
    </rPh>
    <rPh sb="20" eb="22">
      <t>セッテイ</t>
    </rPh>
    <phoneticPr fontId="2"/>
  </si>
  <si>
    <t>例えば、５年間で</t>
    <rPh sb="0" eb="1">
      <t>タト</t>
    </rPh>
    <rPh sb="5" eb="6">
      <t>ネン</t>
    </rPh>
    <rPh sb="6" eb="7">
      <t>カン</t>
    </rPh>
    <phoneticPr fontId="2"/>
  </si>
  <si>
    <t>入力例</t>
    <rPh sb="0" eb="2">
      <t>ニュウリョク</t>
    </rPh>
    <rPh sb="2" eb="3">
      <t>レイ</t>
    </rPh>
    <phoneticPr fontId="2"/>
  </si>
  <si>
    <t>【移住者数の入力方法】</t>
    <rPh sb="1" eb="4">
      <t>イジュウシャ</t>
    </rPh>
    <rPh sb="4" eb="5">
      <t>スウ</t>
    </rPh>
    <rPh sb="6" eb="8">
      <t>ニュウリョク</t>
    </rPh>
    <rPh sb="8" eb="10">
      <t>ホウホウ</t>
    </rPh>
    <phoneticPr fontId="2"/>
  </si>
  <si>
    <t>移住者数を、右の赤枠で囲まれた表内に入力します。</t>
    <rPh sb="0" eb="3">
      <t>イジュウシャ</t>
    </rPh>
    <rPh sb="3" eb="4">
      <t>スウ</t>
    </rPh>
    <rPh sb="6" eb="7">
      <t>ミギ</t>
    </rPh>
    <rPh sb="8" eb="9">
      <t>アカ</t>
    </rPh>
    <rPh sb="9" eb="10">
      <t>ワク</t>
    </rPh>
    <rPh sb="11" eb="12">
      <t>カコ</t>
    </rPh>
    <rPh sb="15" eb="17">
      <t>ヒョウナイ</t>
    </rPh>
    <rPh sb="18" eb="20">
      <t>ニュウリョク</t>
    </rPh>
    <phoneticPr fontId="2"/>
  </si>
  <si>
    <t>移住者数入力表</t>
    <rPh sb="0" eb="3">
      <t>イジュウシャ</t>
    </rPh>
    <rPh sb="3" eb="4">
      <t>スウ</t>
    </rPh>
    <rPh sb="4" eb="6">
      <t>ニュウリョク</t>
    </rPh>
    <rPh sb="6" eb="7">
      <t>ヒョウ</t>
    </rPh>
    <phoneticPr fontId="2"/>
  </si>
  <si>
    <t>皆さんで話し合って、移住者数を設定してみましょう！</t>
    <rPh sb="0" eb="1">
      <t>ミナ</t>
    </rPh>
    <rPh sb="4" eb="5">
      <t>ハナ</t>
    </rPh>
    <rPh sb="6" eb="7">
      <t>ア</t>
    </rPh>
    <rPh sb="10" eb="13">
      <t>イジュウシャ</t>
    </rPh>
    <rPh sb="13" eb="14">
      <t>スウ</t>
    </rPh>
    <rPh sb="15" eb="17">
      <t>セッテイ</t>
    </rPh>
    <phoneticPr fontId="2"/>
  </si>
  <si>
    <t>予測年5</t>
    <rPh sb="0" eb="2">
      <t>ヨソク</t>
    </rPh>
    <rPh sb="2" eb="3">
      <t>ネン</t>
    </rPh>
    <phoneticPr fontId="2"/>
  </si>
  <si>
    <t>予測年6</t>
    <rPh sb="0" eb="2">
      <t>ヨソク</t>
    </rPh>
    <rPh sb="2" eb="3">
      <t>ネン</t>
    </rPh>
    <phoneticPr fontId="2"/>
  </si>
  <si>
    <t>現況の25年後</t>
    <rPh sb="0" eb="2">
      <t>ゲンキョウ</t>
    </rPh>
    <rPh sb="5" eb="7">
      <t>ネンゴ</t>
    </rPh>
    <phoneticPr fontId="2"/>
  </si>
  <si>
    <t>現況の30年後</t>
    <rPh sb="0" eb="2">
      <t>ゲンキョウ</t>
    </rPh>
    <rPh sb="5" eb="7">
      <t>ネンゴ</t>
    </rPh>
    <phoneticPr fontId="2"/>
  </si>
  <si>
    <t>には、</t>
    <phoneticPr fontId="2"/>
  </si>
  <si>
    <t>人、</t>
    <rPh sb="0" eb="1">
      <t>ニン</t>
    </rPh>
    <phoneticPr fontId="2"/>
  </si>
  <si>
    <t>人と</t>
    <rPh sb="0" eb="1">
      <t>ニン</t>
    </rPh>
    <phoneticPr fontId="2"/>
  </si>
  <si>
    <t>予想されます。</t>
    <rPh sb="0" eb="2">
      <t>ヨソウ</t>
    </rPh>
    <phoneticPr fontId="2"/>
  </si>
  <si>
    <t>人が見込まれます。</t>
    <rPh sb="0" eb="1">
      <t>ニン</t>
    </rPh>
    <rPh sb="2" eb="4">
      <t>ミコ</t>
    </rPh>
    <phoneticPr fontId="2"/>
  </si>
  <si>
    <t>７５歳以上は、</t>
    <rPh sb="2" eb="5">
      <t>サイイジョウ</t>
    </rPh>
    <phoneticPr fontId="2"/>
  </si>
  <si>
    <t>６５歳以上は、</t>
    <rPh sb="2" eb="3">
      <t>サイ</t>
    </rPh>
    <rPh sb="3" eb="5">
      <t>イジョウ</t>
    </rPh>
    <phoneticPr fontId="2"/>
  </si>
  <si>
    <t>人で総人口の</t>
    <rPh sb="0" eb="1">
      <t>ニン</t>
    </rPh>
    <rPh sb="2" eb="5">
      <t>ソウジンコウ</t>
    </rPh>
    <phoneticPr fontId="2"/>
  </si>
  <si>
    <t>、</t>
    <phoneticPr fontId="2"/>
  </si>
  <si>
    <t>と</t>
    <phoneticPr fontId="2"/>
  </si>
  <si>
    <t>男女計</t>
    <rPh sb="0" eb="2">
      <t>ダンジョ</t>
    </rPh>
    <rPh sb="2" eb="3">
      <t>ケイ</t>
    </rPh>
    <phoneticPr fontId="2"/>
  </si>
  <si>
    <t>また</t>
    <phoneticPr fontId="2"/>
  </si>
  <si>
    <t>の男女計での人口ピラミッドについて、</t>
  </si>
  <si>
    <t>受入のために空き家は使えるか？</t>
    <rPh sb="0" eb="2">
      <t>ウケイレ</t>
    </rPh>
    <rPh sb="6" eb="7">
      <t>ア</t>
    </rPh>
    <rPh sb="8" eb="9">
      <t>ヤ</t>
    </rPh>
    <rPh sb="10" eb="11">
      <t>ツカ</t>
    </rPh>
    <phoneticPr fontId="2"/>
  </si>
  <si>
    <t>若い人が地域に入ってきやすくするには何が必要か？</t>
    <rPh sb="0" eb="1">
      <t>ワカ</t>
    </rPh>
    <rPh sb="2" eb="3">
      <t>ヒト</t>
    </rPh>
    <rPh sb="4" eb="6">
      <t>チイキ</t>
    </rPh>
    <rPh sb="7" eb="8">
      <t>ハイ</t>
    </rPh>
    <rPh sb="18" eb="19">
      <t>ナニ</t>
    </rPh>
    <rPh sb="20" eb="22">
      <t>ヒツヨウ</t>
    </rPh>
    <phoneticPr fontId="2"/>
  </si>
  <si>
    <t>は県内の他の地域と比べて、</t>
    <rPh sb="1" eb="3">
      <t>ケンナイ</t>
    </rPh>
    <rPh sb="4" eb="5">
      <t>タ</t>
    </rPh>
    <rPh sb="6" eb="8">
      <t>チイキ</t>
    </rPh>
    <rPh sb="9" eb="10">
      <t>クラ</t>
    </rPh>
    <phoneticPr fontId="2"/>
  </si>
  <si>
    <t>どのような特徴があるのでしょうか？</t>
    <rPh sb="5" eb="7">
      <t>トクチョウ</t>
    </rPh>
    <phoneticPr fontId="2"/>
  </si>
  <si>
    <t>①世帯構成</t>
    <rPh sb="1" eb="3">
      <t>セタイ</t>
    </rPh>
    <rPh sb="3" eb="5">
      <t>コウセイ</t>
    </rPh>
    <phoneticPr fontId="2"/>
  </si>
  <si>
    <t>世帯内に65歳以上がいる世帯の割合は、</t>
    <rPh sb="0" eb="2">
      <t>セタイ</t>
    </rPh>
    <rPh sb="2" eb="3">
      <t>ナイ</t>
    </rPh>
    <rPh sb="6" eb="7">
      <t>サイ</t>
    </rPh>
    <rPh sb="7" eb="9">
      <t>イジョウ</t>
    </rPh>
    <rPh sb="12" eb="14">
      <t>セタイ</t>
    </rPh>
    <rPh sb="15" eb="17">
      <t>ワリアイ</t>
    </rPh>
    <phoneticPr fontId="2"/>
  </si>
  <si>
    <t>で、</t>
    <phoneticPr fontId="2"/>
  </si>
  <si>
    <t>県平均</t>
    <rPh sb="0" eb="1">
      <t>ケン</t>
    </rPh>
    <rPh sb="1" eb="3">
      <t>ヘイキン</t>
    </rPh>
    <phoneticPr fontId="2"/>
  </si>
  <si>
    <t>県平均と比べて</t>
    <rPh sb="0" eb="1">
      <t>ケン</t>
    </rPh>
    <rPh sb="1" eb="3">
      <t>ヘイキン</t>
    </rPh>
    <rPh sb="4" eb="5">
      <t>クラ</t>
    </rPh>
    <phoneticPr fontId="2"/>
  </si>
  <si>
    <t>一方、65歳以上の一人暮らし世帯の割合は、</t>
    <rPh sb="0" eb="2">
      <t>イッポウ</t>
    </rPh>
    <rPh sb="5" eb="6">
      <t>サイ</t>
    </rPh>
    <rPh sb="6" eb="8">
      <t>イジョウ</t>
    </rPh>
    <rPh sb="9" eb="11">
      <t>ヒトリ</t>
    </rPh>
    <rPh sb="11" eb="12">
      <t>グ</t>
    </rPh>
    <rPh sb="14" eb="16">
      <t>セタイ</t>
    </rPh>
    <rPh sb="17" eb="19">
      <t>ワリアイ</t>
    </rPh>
    <phoneticPr fontId="2"/>
  </si>
  <si>
    <t>で、</t>
    <phoneticPr fontId="2"/>
  </si>
  <si>
    <t>居住期間が10年未満の居住者の割合は、</t>
    <rPh sb="0" eb="2">
      <t>キョジュウ</t>
    </rPh>
    <rPh sb="2" eb="4">
      <t>キカン</t>
    </rPh>
    <rPh sb="7" eb="8">
      <t>ネン</t>
    </rPh>
    <rPh sb="8" eb="10">
      <t>ミマン</t>
    </rPh>
    <rPh sb="11" eb="14">
      <t>キョジュウシャ</t>
    </rPh>
    <rPh sb="15" eb="17">
      <t>ワリアイ</t>
    </rPh>
    <phoneticPr fontId="2"/>
  </si>
  <si>
    <t>一方、県の中で見ると、</t>
    <rPh sb="0" eb="2">
      <t>イッポウ</t>
    </rPh>
    <rPh sb="3" eb="4">
      <t>ケン</t>
    </rPh>
    <rPh sb="5" eb="6">
      <t>ナカ</t>
    </rPh>
    <rPh sb="7" eb="8">
      <t>ミ</t>
    </rPh>
    <phoneticPr fontId="2"/>
  </si>
  <si>
    <t>ここ５年間における転入者数は、</t>
    <rPh sb="3" eb="4">
      <t>ネン</t>
    </rPh>
    <rPh sb="4" eb="5">
      <t>カン</t>
    </rPh>
    <rPh sb="9" eb="12">
      <t>テンニュウシャ</t>
    </rPh>
    <rPh sb="12" eb="13">
      <t>スウ</t>
    </rPh>
    <phoneticPr fontId="2"/>
  </si>
  <si>
    <t>人です。</t>
    <rPh sb="0" eb="1">
      <t>ニン</t>
    </rPh>
    <phoneticPr fontId="2"/>
  </si>
  <si>
    <t>です。</t>
    <phoneticPr fontId="2"/>
  </si>
  <si>
    <t>市町村名</t>
    <rPh sb="0" eb="3">
      <t>シチョウソン</t>
    </rPh>
    <rPh sb="3" eb="4">
      <t>メイ</t>
    </rPh>
    <phoneticPr fontId="2"/>
  </si>
  <si>
    <t>平均と比べて</t>
  </si>
  <si>
    <t>の中で見ると、</t>
  </si>
  <si>
    <t>県内他市町村からの転入者の割合が</t>
    <rPh sb="0" eb="2">
      <t>ケンナイ</t>
    </rPh>
    <rPh sb="2" eb="3">
      <t>タ</t>
    </rPh>
    <rPh sb="3" eb="6">
      <t>シチョウソン</t>
    </rPh>
    <rPh sb="9" eb="12">
      <t>テンニュウシャ</t>
    </rPh>
    <rPh sb="13" eb="15">
      <t>ワリアイ</t>
    </rPh>
    <phoneticPr fontId="2"/>
  </si>
  <si>
    <t>県外からの転入者の割合が</t>
    <rPh sb="0" eb="2">
      <t>ケンガイ</t>
    </rPh>
    <rPh sb="5" eb="8">
      <t>テンニュウシャ</t>
    </rPh>
    <rPh sb="9" eb="11">
      <t>ワリアイ</t>
    </rPh>
    <phoneticPr fontId="2"/>
  </si>
  <si>
    <t>です。</t>
    <phoneticPr fontId="2"/>
  </si>
  <si>
    <t>転入者の性別構成は、</t>
    <rPh sb="0" eb="3">
      <t>テンニュウシャ</t>
    </rPh>
    <rPh sb="4" eb="6">
      <t>セイベツ</t>
    </rPh>
    <rPh sb="6" eb="8">
      <t>コウセイ</t>
    </rPh>
    <phoneticPr fontId="2"/>
  </si>
  <si>
    <t>:</t>
    <phoneticPr fontId="2"/>
  </si>
  <si>
    <t>与える影響はあるだろうか？</t>
  </si>
  <si>
    <t>農・林業</t>
    <phoneticPr fontId="2"/>
  </si>
  <si>
    <t>鉱業・採石業</t>
    <phoneticPr fontId="2"/>
  </si>
  <si>
    <t>運輸業・郵便業</t>
    <phoneticPr fontId="2"/>
  </si>
  <si>
    <t>卸売業・小売業</t>
    <phoneticPr fontId="2"/>
  </si>
  <si>
    <t>金融業・保険業</t>
    <phoneticPr fontId="2"/>
  </si>
  <si>
    <t>不動産業・物品賃貸業</t>
    <phoneticPr fontId="2"/>
  </si>
  <si>
    <t>学術研究・専門・技術サービス業</t>
    <phoneticPr fontId="2"/>
  </si>
  <si>
    <t>宿泊業・飲食サービス業</t>
    <phoneticPr fontId="2"/>
  </si>
  <si>
    <t>生活関連サービス業・娯楽業</t>
    <phoneticPr fontId="2"/>
  </si>
  <si>
    <t>教育・学習支援業</t>
    <phoneticPr fontId="2"/>
  </si>
  <si>
    <t>医療・福祉</t>
    <phoneticPr fontId="2"/>
  </si>
  <si>
    <t>その他サービス業</t>
    <rPh sb="2" eb="3">
      <t>タ</t>
    </rPh>
    <phoneticPr fontId="2"/>
  </si>
  <si>
    <t>期待できるだろう？（特に若い人の雇用を生み出す上で）</t>
    <rPh sb="0" eb="2">
      <t>キタイ</t>
    </rPh>
    <rPh sb="10" eb="11">
      <t>トク</t>
    </rPh>
    <rPh sb="12" eb="13">
      <t>ワカ</t>
    </rPh>
    <rPh sb="14" eb="15">
      <t>ヒト</t>
    </rPh>
    <rPh sb="16" eb="18">
      <t>コヨウ</t>
    </rPh>
    <rPh sb="19" eb="20">
      <t>ウ</t>
    </rPh>
    <rPh sb="21" eb="22">
      <t>ダ</t>
    </rPh>
    <rPh sb="23" eb="24">
      <t>ウエ</t>
    </rPh>
    <phoneticPr fontId="2"/>
  </si>
  <si>
    <t>⑤通勤通学先割合</t>
    <rPh sb="1" eb="3">
      <t>ツウキン</t>
    </rPh>
    <rPh sb="3" eb="5">
      <t>ツウガク</t>
    </rPh>
    <rPh sb="5" eb="6">
      <t>サキ</t>
    </rPh>
    <rPh sb="6" eb="8">
      <t>ワリアイ</t>
    </rPh>
    <phoneticPr fontId="2"/>
  </si>
  <si>
    <t>通勤先割合は、</t>
    <rPh sb="0" eb="2">
      <t>ツウキン</t>
    </rPh>
    <rPh sb="2" eb="3">
      <t>サキ</t>
    </rPh>
    <rPh sb="3" eb="5">
      <t>ワリアイ</t>
    </rPh>
    <phoneticPr fontId="2"/>
  </si>
  <si>
    <t>が</t>
    <phoneticPr fontId="2"/>
  </si>
  <si>
    <t>内となっています。</t>
    <rPh sb="0" eb="1">
      <t>ナイ</t>
    </rPh>
    <phoneticPr fontId="2"/>
  </si>
  <si>
    <t>一方、15歳以上の通学先割合は、</t>
    <rPh sb="0" eb="2">
      <t>イッポウ</t>
    </rPh>
    <rPh sb="5" eb="6">
      <t>サイ</t>
    </rPh>
    <rPh sb="6" eb="8">
      <t>イジョウ</t>
    </rPh>
    <rPh sb="9" eb="11">
      <t>ツウガク</t>
    </rPh>
    <rPh sb="11" eb="12">
      <t>サキ</t>
    </rPh>
    <rPh sb="12" eb="14">
      <t>ワリアイ</t>
    </rPh>
    <phoneticPr fontId="2"/>
  </si>
  <si>
    <t>※15歳以上には中学３年生も含まれる。</t>
    <rPh sb="3" eb="6">
      <t>サイイジョウ</t>
    </rPh>
    <rPh sb="8" eb="10">
      <t>チュウガク</t>
    </rPh>
    <rPh sb="11" eb="13">
      <t>ネンセイ</t>
    </rPh>
    <rPh sb="14" eb="15">
      <t>フク</t>
    </rPh>
    <phoneticPr fontId="2"/>
  </si>
  <si>
    <t>何らかの影響を与えているだろうか？</t>
    <rPh sb="0" eb="1">
      <t>ナン</t>
    </rPh>
    <rPh sb="4" eb="6">
      <t>エイキョウ</t>
    </rPh>
    <rPh sb="7" eb="8">
      <t>アタ</t>
    </rPh>
    <phoneticPr fontId="2"/>
  </si>
  <si>
    <t>ことが、地域内にある商店やスーパー、ガソリンスタンド等に</t>
    <rPh sb="4" eb="6">
      <t>チイキ</t>
    </rPh>
    <rPh sb="6" eb="7">
      <t>ナイ</t>
    </rPh>
    <rPh sb="10" eb="12">
      <t>ショウテン</t>
    </rPh>
    <rPh sb="26" eb="27">
      <t>トウ</t>
    </rPh>
    <phoneticPr fontId="2"/>
  </si>
  <si>
    <t>地域の未来を考えよう！</t>
    <rPh sb="0" eb="2">
      <t>チイキ</t>
    </rPh>
    <rPh sb="3" eb="5">
      <t>ミライ</t>
    </rPh>
    <rPh sb="6" eb="7">
      <t>カンガ</t>
    </rPh>
    <phoneticPr fontId="2"/>
  </si>
  <si>
    <t>各シートには、グラフをみながら話し合いのきっかけとなる</t>
    <rPh sb="0" eb="1">
      <t>カク</t>
    </rPh>
    <rPh sb="15" eb="16">
      <t>ハナ</t>
    </rPh>
    <rPh sb="17" eb="18">
      <t>ア</t>
    </rPh>
    <phoneticPr fontId="2"/>
  </si>
  <si>
    <t>質問を用意しています。</t>
    <rPh sb="0" eb="2">
      <t>シツモン</t>
    </rPh>
    <rPh sb="3" eb="5">
      <t>ヨウイ</t>
    </rPh>
    <phoneticPr fontId="2"/>
  </si>
  <si>
    <t>それらの質問を呼び水に、皆さんで意見を出し合ってみてください。</t>
    <rPh sb="4" eb="6">
      <t>シツモン</t>
    </rPh>
    <rPh sb="7" eb="8">
      <t>ヨ</t>
    </rPh>
    <rPh sb="9" eb="10">
      <t>ミズ</t>
    </rPh>
    <rPh sb="12" eb="13">
      <t>ミナ</t>
    </rPh>
    <rPh sb="16" eb="18">
      <t>イケン</t>
    </rPh>
    <rPh sb="19" eb="20">
      <t>ダ</t>
    </rPh>
    <rPh sb="21" eb="22">
      <t>ア</t>
    </rPh>
    <phoneticPr fontId="2"/>
  </si>
  <si>
    <t>の人口ピラミッドは次のようになっています。</t>
    <rPh sb="1" eb="3">
      <t>ジンコウ</t>
    </rPh>
    <rPh sb="9" eb="10">
      <t>ツギ</t>
    </rPh>
    <phoneticPr fontId="2"/>
  </si>
  <si>
    <t>次のようになります。</t>
    <rPh sb="0" eb="1">
      <t>ツギ</t>
    </rPh>
    <phoneticPr fontId="2"/>
  </si>
  <si>
    <t>【参考】</t>
    <rPh sb="1" eb="3">
      <t>サンコウ</t>
    </rPh>
    <phoneticPr fontId="2"/>
  </si>
  <si>
    <t>これまでの傾向が続いた場合（男女計）</t>
    <rPh sb="5" eb="7">
      <t>ケイコウ</t>
    </rPh>
    <rPh sb="8" eb="9">
      <t>ツヅ</t>
    </rPh>
    <rPh sb="11" eb="13">
      <t>バアイ</t>
    </rPh>
    <rPh sb="14" eb="16">
      <t>ダンジョ</t>
    </rPh>
    <rPh sb="16" eb="17">
      <t>ケイ</t>
    </rPh>
    <phoneticPr fontId="2"/>
  </si>
  <si>
    <t>移住受入を進めた場合（男女計）</t>
    <rPh sb="0" eb="2">
      <t>イジュウ</t>
    </rPh>
    <rPh sb="2" eb="4">
      <t>ウケイレ</t>
    </rPh>
    <rPh sb="5" eb="6">
      <t>スス</t>
    </rPh>
    <rPh sb="8" eb="10">
      <t>バアイ</t>
    </rPh>
    <rPh sb="11" eb="13">
      <t>ダンジョ</t>
    </rPh>
    <rPh sb="13" eb="14">
      <t>ケイ</t>
    </rPh>
    <phoneticPr fontId="2"/>
  </si>
  <si>
    <t>おわりに</t>
    <phoneticPr fontId="2"/>
  </si>
  <si>
    <t>ここまでの議論をふりかえり、地域の維持・活性化にむけて、</t>
    <rPh sb="5" eb="7">
      <t>ギロン</t>
    </rPh>
    <rPh sb="14" eb="16">
      <t>チイキ</t>
    </rPh>
    <rPh sb="17" eb="19">
      <t>イジ</t>
    </rPh>
    <rPh sb="20" eb="23">
      <t>カッセイカ</t>
    </rPh>
    <phoneticPr fontId="2"/>
  </si>
  <si>
    <t>何かを出しあってみましょう。</t>
    <rPh sb="0" eb="1">
      <t>ナニ</t>
    </rPh>
    <rPh sb="3" eb="4">
      <t>ダ</t>
    </rPh>
    <phoneticPr fontId="2"/>
  </si>
  <si>
    <t>みましょう。</t>
    <phoneticPr fontId="2"/>
  </si>
  <si>
    <t>まず自分たちでできそうなこと（活動）は何かを出しあって</t>
    <rPh sb="2" eb="4">
      <t>ジブン</t>
    </rPh>
    <rPh sb="15" eb="17">
      <t>カツドウ</t>
    </rPh>
    <rPh sb="19" eb="20">
      <t>ナニ</t>
    </rPh>
    <rPh sb="22" eb="23">
      <t>ダ</t>
    </rPh>
    <phoneticPr fontId="2"/>
  </si>
  <si>
    <t>次に、その活動を行うために、行政にサポートして欲しいことは</t>
    <rPh sb="0" eb="1">
      <t>ツギ</t>
    </rPh>
    <rPh sb="5" eb="7">
      <t>カツドウ</t>
    </rPh>
    <rPh sb="8" eb="9">
      <t>オコナ</t>
    </rPh>
    <rPh sb="14" eb="16">
      <t>ギョウセイ</t>
    </rPh>
    <rPh sb="23" eb="24">
      <t>ホ</t>
    </rPh>
    <phoneticPr fontId="2"/>
  </si>
  <si>
    <t>「地域特徴シート」→「おわりに」の順番で、ご覧ください。</t>
    <rPh sb="22" eb="23">
      <t>ラン</t>
    </rPh>
    <phoneticPr fontId="2"/>
  </si>
  <si>
    <t>これまでの傾向が続いた場合と移住受入を進めた場合を比較すると</t>
    <rPh sb="5" eb="7">
      <t>ケイコウ</t>
    </rPh>
    <rPh sb="8" eb="9">
      <t>ツヅ</t>
    </rPh>
    <rPh sb="11" eb="13">
      <t>バアイ</t>
    </rPh>
    <rPh sb="14" eb="16">
      <t>イジュウ</t>
    </rPh>
    <rPh sb="16" eb="18">
      <t>ウケイ</t>
    </rPh>
    <rPh sb="19" eb="20">
      <t>スス</t>
    </rPh>
    <rPh sb="22" eb="24">
      <t>バアイ</t>
    </rPh>
    <rPh sb="25" eb="27">
      <t>ヒカク</t>
    </rPh>
    <phoneticPr fontId="2"/>
  </si>
  <si>
    <t>　男性：女性＝</t>
    <rPh sb="1" eb="3">
      <t>ダンセイ</t>
    </rPh>
    <rPh sb="4" eb="6">
      <t>ジョセイ</t>
    </rPh>
    <phoneticPr fontId="2"/>
  </si>
  <si>
    <t>産業別就業者の割合は、次のとおりです。</t>
    <rPh sb="0" eb="3">
      <t>サンギョウベツ</t>
    </rPh>
    <rPh sb="3" eb="5">
      <t>シュウギョウ</t>
    </rPh>
    <rPh sb="5" eb="6">
      <t>シャ</t>
    </rPh>
    <rPh sb="7" eb="9">
      <t>ワリアイ</t>
    </rPh>
    <rPh sb="11" eb="12">
      <t>ツギ</t>
    </rPh>
    <phoneticPr fontId="2"/>
  </si>
  <si>
    <t>参加する主な年齢層はどの程度になるだろうか？</t>
  </si>
  <si>
    <t>地域で行なっている草刈やお祭り等のイベント、婦人会活動に</t>
  </si>
  <si>
    <t>①</t>
    <phoneticPr fontId="2"/>
  </si>
  <si>
    <t>②</t>
    <phoneticPr fontId="2"/>
  </si>
  <si>
    <t>地域における消防団活動が継続できるだろうか？</t>
    <rPh sb="6" eb="9">
      <t>ショウボウダン</t>
    </rPh>
    <rPh sb="9" eb="11">
      <t>カツドウ</t>
    </rPh>
    <rPh sb="12" eb="14">
      <t>ケイゾク</t>
    </rPh>
    <phoneticPr fontId="2"/>
  </si>
  <si>
    <t>③</t>
    <phoneticPr fontId="2"/>
  </si>
  <si>
    <t>地域における伝統芸能は継承していけるだろうか？</t>
    <rPh sb="6" eb="8">
      <t>デントウ</t>
    </rPh>
    <rPh sb="8" eb="10">
      <t>ゲイノウ</t>
    </rPh>
    <rPh sb="11" eb="13">
      <t>ケイショウ</t>
    </rPh>
    <phoneticPr fontId="2"/>
  </si>
  <si>
    <t>④</t>
    <phoneticPr fontId="2"/>
  </si>
  <si>
    <t>車の運転できない高齢者がどの程度になるだろうか？</t>
    <rPh sb="0" eb="1">
      <t>クルマ</t>
    </rPh>
    <rPh sb="2" eb="4">
      <t>ウンテン</t>
    </rPh>
    <rPh sb="8" eb="11">
      <t>コウレイシャ</t>
    </rPh>
    <rPh sb="14" eb="16">
      <t>テイド</t>
    </rPh>
    <phoneticPr fontId="2"/>
  </si>
  <si>
    <t>このようなお年寄りの足の確保をどうすればよいだろうか？</t>
    <rPh sb="6" eb="8">
      <t>トシヨ</t>
    </rPh>
    <rPh sb="10" eb="11">
      <t>アシ</t>
    </rPh>
    <rPh sb="12" eb="14">
      <t>カクホ</t>
    </rPh>
    <phoneticPr fontId="2"/>
  </si>
  <si>
    <t>⑤</t>
    <phoneticPr fontId="2"/>
  </si>
  <si>
    <t>このような人口規模で、地域内の商店やガソリンスタンド、</t>
    <rPh sb="5" eb="7">
      <t>ジンコウ</t>
    </rPh>
    <rPh sb="7" eb="9">
      <t>キボ</t>
    </rPh>
    <rPh sb="11" eb="13">
      <t>チイキ</t>
    </rPh>
    <rPh sb="13" eb="14">
      <t>ナイ</t>
    </rPh>
    <rPh sb="15" eb="17">
      <t>ショウテン</t>
    </rPh>
    <phoneticPr fontId="2"/>
  </si>
  <si>
    <t>病院は継続していけるだろうか？</t>
    <rPh sb="0" eb="2">
      <t>ビョウイン</t>
    </rPh>
    <rPh sb="3" eb="5">
      <t>ケイゾク</t>
    </rPh>
    <phoneticPr fontId="2"/>
  </si>
  <si>
    <t>移住者受入を進めることで、どの程度解消できるだろう？</t>
    <rPh sb="0" eb="3">
      <t>イジュウシャ</t>
    </rPh>
    <rPh sb="3" eb="5">
      <t>ウケイレ</t>
    </rPh>
    <rPh sb="6" eb="7">
      <t>スス</t>
    </rPh>
    <rPh sb="15" eb="17">
      <t>テイド</t>
    </rPh>
    <rPh sb="17" eb="19">
      <t>カイショウ</t>
    </rPh>
    <phoneticPr fontId="2"/>
  </si>
  <si>
    <t>その規模で現在と同じように活動ができるだろうか？</t>
    <rPh sb="2" eb="4">
      <t>キボ</t>
    </rPh>
    <rPh sb="5" eb="7">
      <t>ゲンザイ</t>
    </rPh>
    <rPh sb="8" eb="9">
      <t>オナ</t>
    </rPh>
    <rPh sb="13" eb="15">
      <t>カツドウ</t>
    </rPh>
    <phoneticPr fontId="2"/>
  </si>
  <si>
    <t>人となっています。</t>
    <rPh sb="0" eb="1">
      <t>ヒト</t>
    </rPh>
    <phoneticPr fontId="2"/>
  </si>
  <si>
    <t>ひなたまちづくり応援シート</t>
    <rPh sb="8" eb="10">
      <t>オウエン</t>
    </rPh>
    <phoneticPr fontId="2"/>
  </si>
  <si>
    <t>　このひなたまちづくり応援シートは、地域の課題や将来の姿を見える化することで、地域に住むみなさんが、今後どのような活動や助け合いが大切かを話し合うための資料です。
　お住まいの地域の10年後、20年後を思い描きながら、今、どんな強みや弱みを持っているのか、これからどんなことが問題になりそうか、それをどのように皆で支えあっていくかなど、議論しながらアイディアを出し合ってみましょう！</t>
    <rPh sb="18" eb="20">
      <t>チイキ</t>
    </rPh>
    <rPh sb="21" eb="23">
      <t>カダイ</t>
    </rPh>
    <rPh sb="24" eb="26">
      <t>ショウライ</t>
    </rPh>
    <rPh sb="27" eb="28">
      <t>スガタ</t>
    </rPh>
    <rPh sb="29" eb="30">
      <t>ミ</t>
    </rPh>
    <rPh sb="32" eb="33">
      <t>カ</t>
    </rPh>
    <rPh sb="101" eb="102">
      <t>オモ</t>
    </rPh>
    <rPh sb="138" eb="140">
      <t>モンダイ</t>
    </rPh>
    <rPh sb="155" eb="156">
      <t>ミナ</t>
    </rPh>
    <rPh sb="157" eb="158">
      <t>ササ</t>
    </rPh>
    <rPh sb="168" eb="170">
      <t>ギロン</t>
    </rPh>
    <phoneticPr fontId="2"/>
  </si>
  <si>
    <t>【本応援シートを使った話し合いの進め方】</t>
    <rPh sb="1" eb="2">
      <t>ホン</t>
    </rPh>
    <rPh sb="2" eb="4">
      <t>オウエン</t>
    </rPh>
    <rPh sb="8" eb="9">
      <t>ツカ</t>
    </rPh>
    <rPh sb="11" eb="12">
      <t>ハナ</t>
    </rPh>
    <rPh sb="13" eb="14">
      <t>ア</t>
    </rPh>
    <rPh sb="16" eb="17">
      <t>スス</t>
    </rPh>
    <rPh sb="18" eb="19">
      <t>カタ</t>
    </rPh>
    <phoneticPr fontId="2"/>
  </si>
  <si>
    <t>整数化処理</t>
    <rPh sb="0" eb="2">
      <t>セイスウ</t>
    </rPh>
    <rPh sb="2" eb="3">
      <t>カ</t>
    </rPh>
    <rPh sb="3" eb="5">
      <t>ショリ</t>
    </rPh>
    <phoneticPr fontId="2"/>
  </si>
  <si>
    <t>は、</t>
    <phoneticPr fontId="2"/>
  </si>
  <si>
    <t>よりも</t>
    <phoneticPr fontId="2"/>
  </si>
  <si>
    <t>には、</t>
  </si>
  <si>
    <t>の人口ピラミッドは、次のようになります。</t>
    <rPh sb="1" eb="3">
      <t>ジンコウ</t>
    </rPh>
    <phoneticPr fontId="2"/>
  </si>
  <si>
    <t>Ｑ．これまでの傾向が続いた場合に地域で起きると考えた問題は、</t>
    <rPh sb="7" eb="9">
      <t>ケイコウ</t>
    </rPh>
    <rPh sb="10" eb="11">
      <t>ツヅ</t>
    </rPh>
    <rPh sb="13" eb="15">
      <t>バアイ</t>
    </rPh>
    <rPh sb="16" eb="18">
      <t>チイキ</t>
    </rPh>
    <rPh sb="19" eb="20">
      <t>オ</t>
    </rPh>
    <rPh sb="23" eb="24">
      <t>カンガ</t>
    </rPh>
    <rPh sb="26" eb="28">
      <t>モンダイ</t>
    </rPh>
    <phoneticPr fontId="2"/>
  </si>
  <si>
    <t>Ｑ．移住者を受入れる上での課題は何だろうか？</t>
    <rPh sb="2" eb="5">
      <t>イジュウシャ</t>
    </rPh>
    <rPh sb="6" eb="8">
      <t>ウケイ</t>
    </rPh>
    <rPh sb="10" eb="11">
      <t>ウエ</t>
    </rPh>
    <rPh sb="13" eb="15">
      <t>カダイ</t>
    </rPh>
    <rPh sb="16" eb="17">
      <t>ナン</t>
    </rPh>
    <phoneticPr fontId="2"/>
  </si>
  <si>
    <t>地域の出身者に地元で暮らす良さを伝えられているか？</t>
    <rPh sb="0" eb="2">
      <t>チイキ</t>
    </rPh>
    <rPh sb="3" eb="6">
      <t>シュッシンシャ</t>
    </rPh>
    <rPh sb="7" eb="9">
      <t>ジモト</t>
    </rPh>
    <rPh sb="10" eb="11">
      <t>ク</t>
    </rPh>
    <rPh sb="13" eb="14">
      <t>ヨ</t>
    </rPh>
    <rPh sb="16" eb="17">
      <t>ツタ</t>
    </rPh>
    <phoneticPr fontId="2"/>
  </si>
  <si>
    <t>Ｑ．転入者の男女構成割合の偏りが地域の活動などに</t>
    <rPh sb="2" eb="5">
      <t>テンニュウシャ</t>
    </rPh>
    <rPh sb="6" eb="8">
      <t>ダンジョ</t>
    </rPh>
    <rPh sb="8" eb="10">
      <t>コウセイ</t>
    </rPh>
    <rPh sb="10" eb="12">
      <t>ワリアイ</t>
    </rPh>
    <rPh sb="13" eb="14">
      <t>カタヨ</t>
    </rPh>
    <rPh sb="16" eb="18">
      <t>チイキ</t>
    </rPh>
    <rPh sb="19" eb="21">
      <t>カツドウ</t>
    </rPh>
    <phoneticPr fontId="2"/>
  </si>
  <si>
    <t>Ｑ．この地域での雇用を生み出していく上で、どのような産業が</t>
    <rPh sb="4" eb="6">
      <t>チイキ</t>
    </rPh>
    <rPh sb="8" eb="10">
      <t>コヨウ</t>
    </rPh>
    <rPh sb="11" eb="12">
      <t>ウ</t>
    </rPh>
    <rPh sb="13" eb="14">
      <t>ダ</t>
    </rPh>
    <rPh sb="18" eb="19">
      <t>ウエ</t>
    </rPh>
    <rPh sb="26" eb="28">
      <t>サンギョウ</t>
    </rPh>
    <phoneticPr fontId="2"/>
  </si>
  <si>
    <t>Ｑ．自市町村内における通勤通学が上記のような割合となっている</t>
    <rPh sb="2" eb="3">
      <t>ジ</t>
    </rPh>
    <rPh sb="3" eb="6">
      <t>シチョウソン</t>
    </rPh>
    <rPh sb="6" eb="7">
      <t>ナイ</t>
    </rPh>
    <rPh sb="11" eb="13">
      <t>ツウキン</t>
    </rPh>
    <rPh sb="13" eb="15">
      <t>ツウガク</t>
    </rPh>
    <rPh sb="16" eb="18">
      <t>ジョウキ</t>
    </rPh>
    <rPh sb="22" eb="24">
      <t>ワリアイ</t>
    </rPh>
    <phoneticPr fontId="2"/>
  </si>
  <si>
    <t>には、</t>
    <phoneticPr fontId="2"/>
  </si>
  <si>
    <t>Ｑ．これまでの傾向が続いた場合、10年後、20年後に</t>
    <rPh sb="7" eb="9">
      <t>ケイコウ</t>
    </rPh>
    <rPh sb="10" eb="11">
      <t>ツヅ</t>
    </rPh>
    <rPh sb="13" eb="15">
      <t>バアイ</t>
    </rPh>
    <rPh sb="18" eb="20">
      <t>ネンゴ</t>
    </rPh>
    <rPh sb="23" eb="24">
      <t>ネン</t>
    </rPh>
    <rPh sb="24" eb="25">
      <t>ゴ</t>
    </rPh>
    <phoneticPr fontId="2"/>
  </si>
  <si>
    <r>
      <rPr>
        <sz val="16"/>
        <color rgb="FFFF0000"/>
        <rFont val="HG丸ｺﾞｼｯｸM-PRO"/>
        <family val="3"/>
        <charset val="128"/>
      </rPr>
      <t>年</t>
    </r>
    <r>
      <rPr>
        <sz val="16"/>
        <rFont val="HG丸ｺﾞｼｯｸM-PRO"/>
        <family val="3"/>
        <charset val="128"/>
      </rPr>
      <t>　よりも</t>
    </r>
    <rPh sb="0" eb="1">
      <t>ネン</t>
    </rPh>
    <phoneticPr fontId="2"/>
  </si>
  <si>
    <r>
      <rPr>
        <sz val="16"/>
        <color rgb="FFFF0000"/>
        <rFont val="HG丸ｺﾞｼｯｸM-PRO"/>
        <family val="3"/>
        <charset val="128"/>
      </rPr>
      <t>年</t>
    </r>
    <r>
      <rPr>
        <sz val="16"/>
        <color theme="1"/>
        <rFont val="HG丸ｺﾞｼｯｸM-PRO"/>
        <family val="3"/>
        <charset val="128"/>
      </rPr>
      <t>　よりも</t>
    </r>
    <rPh sb="0" eb="1">
      <t>ネン</t>
    </rPh>
    <phoneticPr fontId="2"/>
  </si>
  <si>
    <t>となる見込みです。</t>
    <phoneticPr fontId="2"/>
  </si>
  <si>
    <t>集計単位コード</t>
    <phoneticPr fontId="2"/>
  </si>
  <si>
    <t>男性</t>
    <rPh sb="0" eb="2">
      <t>ダンセイ</t>
    </rPh>
    <phoneticPr fontId="2"/>
  </si>
  <si>
    <t>女性</t>
    <rPh sb="0" eb="2">
      <t>ジョセイ</t>
    </rPh>
    <phoneticPr fontId="2"/>
  </si>
  <si>
    <t>計</t>
    <rPh sb="0" eb="1">
      <t>ケイ</t>
    </rPh>
    <phoneticPr fontId="2"/>
  </si>
  <si>
    <t>男性は、</t>
    <rPh sb="0" eb="2">
      <t>ダンセイ</t>
    </rPh>
    <phoneticPr fontId="2"/>
  </si>
  <si>
    <t>人、女性は、</t>
    <rPh sb="0" eb="1">
      <t>ヒト</t>
    </rPh>
    <rPh sb="2" eb="4">
      <t>ジョセイ</t>
    </rPh>
    <phoneticPr fontId="2"/>
  </si>
  <si>
    <t>人です。</t>
    <rPh sb="0" eb="1">
      <t>ニン</t>
    </rPh>
    <phoneticPr fontId="2"/>
  </si>
  <si>
    <t>10年前</t>
    <rPh sb="2" eb="4">
      <t>ネンマエ</t>
    </rPh>
    <phoneticPr fontId="2"/>
  </si>
  <si>
    <t>5年前</t>
    <rPh sb="1" eb="3">
      <t>ネンマエ</t>
    </rPh>
    <phoneticPr fontId="2"/>
  </si>
  <si>
    <t>と比較すると、20歳代は、</t>
    <rPh sb="1" eb="3">
      <t>ヒカク</t>
    </rPh>
    <phoneticPr fontId="2"/>
  </si>
  <si>
    <t>人、</t>
    <rPh sb="0" eb="1">
      <t>ニン</t>
    </rPh>
    <phoneticPr fontId="2"/>
  </si>
  <si>
    <t>30歳代は、</t>
    <rPh sb="2" eb="3">
      <t>サイ</t>
    </rPh>
    <rPh sb="3" eb="4">
      <t>ダイ</t>
    </rPh>
    <phoneticPr fontId="2"/>
  </si>
  <si>
    <t>人、40歳代は、</t>
    <rPh sb="0" eb="1">
      <t>ニン</t>
    </rPh>
    <rPh sb="4" eb="5">
      <t>サイ</t>
    </rPh>
    <rPh sb="5" eb="6">
      <t>ダイ</t>
    </rPh>
    <phoneticPr fontId="2"/>
  </si>
  <si>
    <t>50歳代は、</t>
    <rPh sb="2" eb="3">
      <t>サイ</t>
    </rPh>
    <rPh sb="3" eb="4">
      <t>ダイ</t>
    </rPh>
    <phoneticPr fontId="2"/>
  </si>
  <si>
    <t>人となっています。</t>
    <rPh sb="0" eb="1">
      <t>ニン</t>
    </rPh>
    <phoneticPr fontId="2"/>
  </si>
  <si>
    <t>男性</t>
    <rPh sb="0" eb="2">
      <t>ダンセイ</t>
    </rPh>
    <phoneticPr fontId="2"/>
  </si>
  <si>
    <t>女性</t>
    <rPh sb="0" eb="2">
      <t>ジョセイ</t>
    </rPh>
    <phoneticPr fontId="2"/>
  </si>
  <si>
    <t>計</t>
    <rPh sb="0" eb="1">
      <t>ケイ</t>
    </rPh>
    <phoneticPr fontId="2"/>
  </si>
  <si>
    <t>15年後</t>
    <rPh sb="2" eb="4">
      <t>ネンゴ</t>
    </rPh>
    <phoneticPr fontId="2"/>
  </si>
  <si>
    <t>25年後</t>
    <rPh sb="2" eb="4">
      <t>ネンゴ</t>
    </rPh>
    <phoneticPr fontId="2"/>
  </si>
  <si>
    <t>30年後</t>
    <rPh sb="2" eb="4">
      <t>ネンゴ</t>
    </rPh>
    <phoneticPr fontId="2"/>
  </si>
  <si>
    <t>男性は、</t>
    <rPh sb="0" eb="2">
      <t>ダンセイ</t>
    </rPh>
    <phoneticPr fontId="2"/>
  </si>
  <si>
    <t>人、女性は、</t>
    <rPh sb="0" eb="1">
      <t>ニン</t>
    </rPh>
    <rPh sb="2" eb="4">
      <t>ジョセイ</t>
    </rPh>
    <phoneticPr fontId="2"/>
  </si>
  <si>
    <t>人です。</t>
    <rPh sb="0" eb="1">
      <t>ニン</t>
    </rPh>
    <phoneticPr fontId="2"/>
  </si>
  <si>
    <t>ﾄﾚﾝﾄﾞ推計-現況</t>
    <rPh sb="5" eb="7">
      <t>スイケイ</t>
    </rPh>
    <rPh sb="8" eb="10">
      <t>ゲンキョウ</t>
    </rPh>
    <phoneticPr fontId="2"/>
  </si>
  <si>
    <t>男性</t>
    <rPh sb="0" eb="2">
      <t>ダンセイ</t>
    </rPh>
    <phoneticPr fontId="2"/>
  </si>
  <si>
    <t>女性</t>
    <rPh sb="0" eb="2">
      <t>ジョセイ</t>
    </rPh>
    <phoneticPr fontId="2"/>
  </si>
  <si>
    <t>計</t>
    <rPh sb="0" eb="1">
      <t>ケイ</t>
    </rPh>
    <phoneticPr fontId="2"/>
  </si>
  <si>
    <t>婦人子ども比計</t>
    <rPh sb="0" eb="2">
      <t>フジン</t>
    </rPh>
    <rPh sb="2" eb="3">
      <t>コ</t>
    </rPh>
    <rPh sb="5" eb="6">
      <t>ヒ</t>
    </rPh>
    <rPh sb="6" eb="7">
      <t>ケイ</t>
    </rPh>
    <phoneticPr fontId="2"/>
  </si>
  <si>
    <t>5～15歳</t>
    <rPh sb="4" eb="5">
      <t>サイ</t>
    </rPh>
    <phoneticPr fontId="2"/>
  </si>
  <si>
    <t>女性数の逆算</t>
    <rPh sb="0" eb="2">
      <t>ジョセイ</t>
    </rPh>
    <rPh sb="2" eb="3">
      <t>スウ</t>
    </rPh>
    <rPh sb="4" eb="6">
      <t>ギャクサン</t>
    </rPh>
    <phoneticPr fontId="2"/>
  </si>
  <si>
    <t>1年齢1性別人数</t>
    <rPh sb="1" eb="3">
      <t>ネンレイ</t>
    </rPh>
    <rPh sb="4" eb="6">
      <t>セイベツ</t>
    </rPh>
    <rPh sb="6" eb="8">
      <t>ニンズウ</t>
    </rPh>
    <phoneticPr fontId="2"/>
  </si>
  <si>
    <t>（20代後半～30代の年齢層の男女をそれぞれ同数ずつ受入れると仮定）</t>
    <rPh sb="15" eb="17">
      <t>ダンジョ</t>
    </rPh>
    <rPh sb="22" eb="24">
      <t>ドウスウ</t>
    </rPh>
    <phoneticPr fontId="2"/>
  </si>
  <si>
    <t>※なお、</t>
    <phoneticPr fontId="2"/>
  </si>
  <si>
    <t>総人口（人）</t>
    <rPh sb="0" eb="3">
      <t>ソウジンコウ</t>
    </rPh>
    <rPh sb="4" eb="5">
      <t>ニン</t>
    </rPh>
    <phoneticPr fontId="2"/>
  </si>
  <si>
    <t>上の赤枠の欄にこれらの数字を入力して確かめてみよう！</t>
    <rPh sb="0" eb="1">
      <t>ウエ</t>
    </rPh>
    <rPh sb="2" eb="3">
      <t>アカ</t>
    </rPh>
    <rPh sb="3" eb="4">
      <t>ワク</t>
    </rPh>
    <rPh sb="5" eb="6">
      <t>ラン</t>
    </rPh>
    <rPh sb="11" eb="13">
      <t>スウジ</t>
    </rPh>
    <rPh sb="14" eb="16">
      <t>ニュウリョク</t>
    </rPh>
    <rPh sb="18" eb="19">
      <t>タシ</t>
    </rPh>
    <phoneticPr fontId="2"/>
  </si>
  <si>
    <t>における人口規模を概ね維持する場合の受入数の試算</t>
    <rPh sb="4" eb="6">
      <t>ジンコウ</t>
    </rPh>
    <rPh sb="6" eb="8">
      <t>キボ</t>
    </rPh>
    <rPh sb="9" eb="10">
      <t>オオム</t>
    </rPh>
    <rPh sb="11" eb="13">
      <t>イジ</t>
    </rPh>
    <rPh sb="15" eb="17">
      <t>バアイ</t>
    </rPh>
    <rPh sb="18" eb="21">
      <t>ウケイレスウ</t>
    </rPh>
    <rPh sb="22" eb="24">
      <t>シサン</t>
    </rPh>
    <phoneticPr fontId="2"/>
  </si>
  <si>
    <t>世帯、</t>
    <rPh sb="0" eb="2">
      <t>セタイ</t>
    </rPh>
    <phoneticPr fontId="2"/>
  </si>
  <si>
    <t>県全体</t>
    <rPh sb="0" eb="3">
      <t>ケンゼンタイ</t>
    </rPh>
    <phoneticPr fontId="2"/>
  </si>
  <si>
    <t>なお、全世帯数は、それぞれ、</t>
    <phoneticPr fontId="2"/>
  </si>
  <si>
    <t>世帯となっています。</t>
    <rPh sb="0" eb="2">
      <t>セタイ</t>
    </rPh>
    <phoneticPr fontId="2"/>
  </si>
  <si>
    <t>は、</t>
    <phoneticPr fontId="2"/>
  </si>
  <si>
    <t>では、</t>
    <phoneticPr fontId="2"/>
  </si>
  <si>
    <t>における</t>
    <phoneticPr fontId="2"/>
  </si>
  <si>
    <t>における</t>
    <phoneticPr fontId="2"/>
  </si>
  <si>
    <t>における</t>
    <phoneticPr fontId="2"/>
  </si>
  <si>
    <t>における</t>
    <phoneticPr fontId="2"/>
  </si>
  <si>
    <t>人、　40歳代は、</t>
    <rPh sb="0" eb="1">
      <t>ニン</t>
    </rPh>
    <rPh sb="5" eb="6">
      <t>サイ</t>
    </rPh>
    <rPh sb="6" eb="7">
      <t>ダイ</t>
    </rPh>
    <phoneticPr fontId="2"/>
  </si>
  <si>
    <t>とした場合、５年間での移住受入数を試算すると以下のようになります。</t>
    <rPh sb="3" eb="5">
      <t>バアイ</t>
    </rPh>
    <rPh sb="7" eb="9">
      <t>ネンカン</t>
    </rPh>
    <rPh sb="11" eb="13">
      <t>イジュウ</t>
    </rPh>
    <rPh sb="22" eb="24">
      <t>イカ</t>
    </rPh>
    <phoneticPr fontId="2"/>
  </si>
  <si>
    <t>における総人口規模および小中学生数を概ね維持しよう</t>
    <rPh sb="4" eb="5">
      <t>ソウ</t>
    </rPh>
    <rPh sb="5" eb="7">
      <t>ジンコウ</t>
    </rPh>
    <rPh sb="7" eb="9">
      <t>キボ</t>
    </rPh>
    <rPh sb="12" eb="16">
      <t>ショウチュウガクセイ</t>
    </rPh>
    <rPh sb="16" eb="17">
      <t>スウ</t>
    </rPh>
    <rPh sb="18" eb="19">
      <t>オオム</t>
    </rPh>
    <rPh sb="20" eb="22">
      <t>イジ</t>
    </rPh>
    <phoneticPr fontId="2"/>
  </si>
  <si>
    <t>Ｑ．子どもの数がこのように推移したことで、地域にどんな変化が起きただろう？</t>
    <rPh sb="2" eb="3">
      <t>コ</t>
    </rPh>
    <rPh sb="6" eb="7">
      <t>スウ</t>
    </rPh>
    <rPh sb="13" eb="15">
      <t>スイイ</t>
    </rPh>
    <rPh sb="21" eb="23">
      <t>チイキ</t>
    </rPh>
    <rPh sb="27" eb="29">
      <t>ヘンカ</t>
    </rPh>
    <phoneticPr fontId="2"/>
  </si>
  <si>
    <t>Ｑ．高齢化率がこのように推移したことで、地域にどんな変化が起きただろう？</t>
    <rPh sb="2" eb="5">
      <t>コウレイカ</t>
    </rPh>
    <rPh sb="5" eb="6">
      <t>リツ</t>
    </rPh>
    <rPh sb="12" eb="14">
      <t>スイイ</t>
    </rPh>
    <rPh sb="20" eb="22">
      <t>チイキ</t>
    </rPh>
    <rPh sb="26" eb="28">
      <t>ヘンカ</t>
    </rPh>
    <phoneticPr fontId="2"/>
  </si>
  <si>
    <t>※将来予測シート①の最後で挙げた問題をもとに考えてみてください。</t>
    <rPh sb="10" eb="12">
      <t>サイゴ</t>
    </rPh>
    <rPh sb="13" eb="14">
      <t>ア</t>
    </rPh>
    <rPh sb="16" eb="18">
      <t>モンダイ</t>
    </rPh>
    <rPh sb="22" eb="23">
      <t>カンガ</t>
    </rPh>
    <phoneticPr fontId="2"/>
  </si>
  <si>
    <t>45383_1</t>
  </si>
  <si>
    <t>綾町</t>
    <rPh sb="0" eb="1">
      <t>アヤ</t>
    </rPh>
    <rPh sb="1" eb="2">
      <t>チョウ</t>
    </rPh>
    <phoneticPr fontId="1"/>
  </si>
  <si>
    <t>北麓久木野々地域</t>
  </si>
  <si>
    <t>45383_2</t>
  </si>
  <si>
    <t>杢道割付尾立竹野地域</t>
  </si>
  <si>
    <t>45383_3</t>
  </si>
  <si>
    <t>二反野倉輪宮谷古屋地域</t>
  </si>
  <si>
    <t>45383_4</t>
  </si>
  <si>
    <t>中堂四枝上畑地域</t>
  </si>
  <si>
    <t>45383_5</t>
  </si>
  <si>
    <t>立町揚地域</t>
  </si>
  <si>
    <t>45383_6</t>
  </si>
  <si>
    <t>宮原公民館区</t>
  </si>
  <si>
    <t>45383_7</t>
  </si>
  <si>
    <t>昭和公民館区</t>
  </si>
  <si>
    <t>45383_8</t>
  </si>
  <si>
    <t>神下公民館区</t>
  </si>
  <si>
    <t>45383_9</t>
  </si>
  <si>
    <t>西中坪公民館区</t>
  </si>
  <si>
    <t>45383_10</t>
  </si>
  <si>
    <t>東中坪公民館区</t>
  </si>
  <si>
    <t>45383_11</t>
  </si>
  <si>
    <t>南麓公民館区</t>
  </si>
  <si>
    <t>45383_12</t>
  </si>
  <si>
    <t>麓公民館区</t>
  </si>
  <si>
    <t>45383_4</t>
    <phoneticPr fontId="2"/>
  </si>
  <si>
    <t>2020年と同程度の人口規模を保つとした場合の受入数（20代後半、30代の3年齢層で検討）</t>
    <rPh sb="4" eb="5">
      <t>ネン</t>
    </rPh>
    <rPh sb="6" eb="9">
      <t>ドウテイド</t>
    </rPh>
    <rPh sb="10" eb="12">
      <t>ジンコウ</t>
    </rPh>
    <rPh sb="12" eb="14">
      <t>キボ</t>
    </rPh>
    <rPh sb="15" eb="16">
      <t>タモ</t>
    </rPh>
    <rPh sb="20" eb="22">
      <t>バアイ</t>
    </rPh>
    <rPh sb="23" eb="26">
      <t>ウケイレスウ</t>
    </rPh>
    <rPh sb="29" eb="30">
      <t>ダイ</t>
    </rPh>
    <rPh sb="30" eb="32">
      <t>コウハン</t>
    </rPh>
    <rPh sb="35" eb="36">
      <t>ダイ</t>
    </rPh>
    <rPh sb="38" eb="40">
      <t>ネンレイ</t>
    </rPh>
    <rPh sb="40" eb="41">
      <t>ソウ</t>
    </rPh>
    <rPh sb="42" eb="44">
      <t>ケントウ</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</si>
</sst>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176" formatCode="0.000"/>
    <numFmt numFmtId="177" formatCode="#&quot;年&quot;"/>
    <numFmt numFmtId="178" formatCode="0.0%"/>
    <numFmt numFmtId="179" formatCode="#&quot;ポ&quot;&quot;イ&quot;&quot;ン&quot;&quot;ト&quot;"/>
    <numFmt numFmtId="180" formatCode="#,##0.000;[Red]\-#,##0.000"/>
    <numFmt numFmtId="181" formatCode="#&quot;年&quot;&quot;値&quot;"/>
    <numFmt numFmtId="182" formatCode="0&quot;人&quot;"/>
    <numFmt numFmtId="183" formatCode="#&quot;組&quot;"/>
    <numFmt numFmtId="184" formatCode="#&quot;人&quot;"/>
    <numFmt numFmtId="185" formatCode="\+#,##0;\-#,##0"/>
    <numFmt numFmtId="186" formatCode="#&quot;人&quot;&quot;の&quot;&quot;増&quot;&quot;加&quot;"/>
    <numFmt numFmtId="187" formatCode="\+#,###;\-#,###;&quot;±&quot;0"/>
    <numFmt numFmtId="188" formatCode="#,##0_ "/>
  </numFmts>
  <fonts count="45" x14ac:knownFonts="1">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sz val="10"/>
      <color theme="1"/>
      <name val="ＭＳ Ｐゴシック"/>
      <family val="2"/>
      <charset val="128"/>
      <scheme val="minor"/>
    </font>
    <font>
      <sz val="10"/>
      <color theme="1"/>
      <name val="ＭＳ Ｐゴシック"/>
      <family val="3"/>
      <charset val="128"/>
      <scheme val="minor"/>
    </font>
    <font>
      <sz val="9"/>
      <color theme="1"/>
      <name val="ＭＳ Ｐゴシック"/>
      <family val="2"/>
      <charset val="128"/>
      <scheme val="minor"/>
    </font>
    <font>
      <sz val="11"/>
      <color theme="1"/>
      <name val="HG丸ｺﾞｼｯｸM-PRO"/>
      <family val="3"/>
      <charset val="128"/>
    </font>
    <font>
      <sz val="16"/>
      <color theme="1"/>
      <name val="HG丸ｺﾞｼｯｸM-PRO"/>
      <family val="3"/>
      <charset val="128"/>
    </font>
    <font>
      <sz val="20"/>
      <color theme="5"/>
      <name val="HG丸ｺﾞｼｯｸM-PRO"/>
      <family val="3"/>
      <charset val="128"/>
    </font>
    <font>
      <sz val="14"/>
      <color theme="1"/>
      <name val="HG丸ｺﾞｼｯｸM-PRO"/>
      <family val="3"/>
      <charset val="128"/>
    </font>
    <font>
      <sz val="16"/>
      <color rgb="FFFF0000"/>
      <name val="HG丸ｺﾞｼｯｸM-PRO"/>
      <family val="3"/>
      <charset val="128"/>
    </font>
    <font>
      <b/>
      <sz val="16"/>
      <color rgb="FF0070C0"/>
      <name val="HG丸ｺﾞｼｯｸM-PRO"/>
      <family val="3"/>
      <charset val="128"/>
    </font>
    <font>
      <sz val="16"/>
      <color rgb="FF0070C0"/>
      <name val="HG丸ｺﾞｼｯｸM-PRO"/>
      <family val="3"/>
      <charset val="128"/>
    </font>
    <font>
      <sz val="6"/>
      <color theme="1"/>
      <name val="ＭＳ Ｐゴシック"/>
      <family val="2"/>
      <charset val="128"/>
      <scheme val="minor"/>
    </font>
    <font>
      <sz val="9"/>
      <color theme="1"/>
      <name val="ＭＳ Ｐゴシック"/>
      <family val="3"/>
      <charset val="128"/>
      <scheme val="minor"/>
    </font>
    <font>
      <b/>
      <sz val="11"/>
      <color rgb="FFFF0000"/>
      <name val="ＭＳ Ｐゴシック"/>
      <family val="3"/>
      <charset val="128"/>
      <scheme val="minor"/>
    </font>
    <font>
      <sz val="11"/>
      <color rgb="FF0070C0"/>
      <name val="ＭＳ Ｐゴシック"/>
      <family val="2"/>
      <charset val="128"/>
      <scheme val="minor"/>
    </font>
    <font>
      <sz val="11"/>
      <color rgb="FF0070C0"/>
      <name val="ＭＳ Ｐゴシック"/>
      <family val="3"/>
      <charset val="128"/>
      <scheme val="minor"/>
    </font>
    <font>
      <sz val="12"/>
      <color theme="1"/>
      <name val="HG丸ｺﾞｼｯｸM-PRO"/>
      <family val="3"/>
      <charset val="128"/>
    </font>
    <font>
      <sz val="28"/>
      <color theme="5"/>
      <name val="HGS創英角ﾎﾟｯﾌﾟ体"/>
      <family val="3"/>
      <charset val="128"/>
    </font>
    <font>
      <sz val="16"/>
      <color rgb="FF00B050"/>
      <name val="HGS創英角ﾎﾟｯﾌﾟ体"/>
      <family val="3"/>
      <charset val="128"/>
    </font>
    <font>
      <b/>
      <sz val="20"/>
      <color theme="5"/>
      <name val="HG丸ｺﾞｼｯｸM-PRO"/>
      <family val="3"/>
      <charset val="128"/>
    </font>
    <font>
      <b/>
      <sz val="20"/>
      <color rgb="FF0070C0"/>
      <name val="HGS創英角ﾎﾟｯﾌﾟ体"/>
      <family val="3"/>
      <charset val="128"/>
    </font>
    <font>
      <b/>
      <sz val="20"/>
      <color rgb="FFFF0000"/>
      <name val="HG丸ｺﾞｼｯｸM-PRO"/>
      <family val="3"/>
      <charset val="128"/>
    </font>
    <font>
      <b/>
      <sz val="16"/>
      <color rgb="FF0070C0"/>
      <name val="HGS創英角ﾎﾟｯﾌﾟ体"/>
      <family val="3"/>
      <charset val="128"/>
    </font>
    <font>
      <sz val="10"/>
      <color theme="1"/>
      <name val="HG丸ｺﾞｼｯｸM-PRO"/>
      <family val="3"/>
      <charset val="128"/>
    </font>
    <font>
      <sz val="16"/>
      <color rgb="FF0070C0"/>
      <name val="HGS創英角ﾎﾟｯﾌﾟ体"/>
      <family val="3"/>
      <charset val="128"/>
    </font>
    <font>
      <sz val="12"/>
      <color rgb="FF0070C0"/>
      <name val="HG丸ｺﾞｼｯｸM-PRO"/>
      <family val="3"/>
      <charset val="128"/>
    </font>
    <font>
      <sz val="12"/>
      <color theme="1"/>
      <name val="ＭＳ Ｐゴシック"/>
      <family val="2"/>
      <charset val="128"/>
      <scheme val="minor"/>
    </font>
    <font>
      <b/>
      <sz val="16"/>
      <color theme="1"/>
      <name val="HG丸ｺﾞｼｯｸM-PRO"/>
      <family val="3"/>
      <charset val="128"/>
    </font>
    <font>
      <b/>
      <sz val="12"/>
      <color rgb="FF0070C0"/>
      <name val="HGS創英角ﾎﾟｯﾌﾟ体"/>
      <family val="3"/>
      <charset val="128"/>
    </font>
    <font>
      <b/>
      <sz val="12"/>
      <color theme="1"/>
      <name val="HG丸ｺﾞｼｯｸM-PRO"/>
      <family val="3"/>
      <charset val="128"/>
    </font>
    <font>
      <sz val="12"/>
      <color rgb="FFFF0000"/>
      <name val="HG丸ｺﾞｼｯｸM-PRO"/>
      <family val="3"/>
      <charset val="128"/>
    </font>
    <font>
      <sz val="12"/>
      <color rgb="FF0070C0"/>
      <name val="HGS創英角ﾎﾟｯﾌﾟ体"/>
      <family val="3"/>
      <charset val="128"/>
    </font>
    <font>
      <sz val="11"/>
      <color theme="1"/>
      <name val="ＭＳ Ｐゴシック"/>
      <family val="3"/>
      <charset val="128"/>
      <scheme val="minor"/>
    </font>
    <font>
      <sz val="20"/>
      <color rgb="FFFF0000"/>
      <name val="HGS創英角ﾎﾟｯﾌﾟ体"/>
      <family val="3"/>
      <charset val="128"/>
    </font>
    <font>
      <sz val="12"/>
      <color theme="1"/>
      <name val="HGS創英角ﾎﾟｯﾌﾟ体"/>
      <family val="3"/>
      <charset val="128"/>
    </font>
    <font>
      <sz val="16"/>
      <name val="HG丸ｺﾞｼｯｸM-PRO"/>
      <family val="3"/>
      <charset val="128"/>
    </font>
    <font>
      <sz val="14"/>
      <color rgb="FFFF0000"/>
      <name val="HG丸ｺﾞｼｯｸM-PRO"/>
      <family val="3"/>
      <charset val="128"/>
    </font>
    <font>
      <sz val="8"/>
      <color theme="1"/>
      <name val="ＭＳ Ｐゴシック"/>
      <family val="2"/>
      <charset val="128"/>
      <scheme val="minor"/>
    </font>
    <font>
      <sz val="9"/>
      <color theme="1"/>
      <name val="HG丸ｺﾞｼｯｸM-PRO"/>
      <family val="3"/>
      <charset val="128"/>
    </font>
    <font>
      <sz val="9"/>
      <color rgb="FFFF0000"/>
      <name val="HG丸ｺﾞｼｯｸM-PRO"/>
      <family val="3"/>
      <charset val="128"/>
    </font>
    <font>
      <b/>
      <sz val="12"/>
      <color theme="8"/>
      <name val="HG丸ｺﾞｼｯｸM-PRO"/>
      <family val="3"/>
      <charset val="128"/>
    </font>
    <font>
      <sz val="13.5"/>
      <color theme="1"/>
      <name val="HG丸ｺﾞｼｯｸM-PRO"/>
      <family val="3"/>
      <charset val="128"/>
    </font>
    <font>
      <b/>
      <sz val="18"/>
      <color rgb="FFFF0000"/>
      <name val="HG丸ｺﾞｼｯｸM-PRO"/>
      <family val="3"/>
      <charset val="128"/>
    </font>
  </fonts>
  <fills count="12">
    <fill>
      <patternFill patternType="none"/>
    </fill>
    <fill>
      <patternFill patternType="gray125"/>
    </fill>
    <fill>
      <patternFill patternType="solid">
        <fgColor theme="8" tint="0.79998168889431442"/>
        <bgColor indexed="64"/>
      </patternFill>
    </fill>
    <fill>
      <patternFill patternType="solid">
        <fgColor theme="9" tint="0.79998168889431442"/>
        <bgColor indexed="64"/>
      </patternFill>
    </fill>
    <fill>
      <patternFill patternType="solid">
        <fgColor theme="5" tint="0.79998168889431442"/>
        <bgColor indexed="64"/>
      </patternFill>
    </fill>
    <fill>
      <patternFill patternType="solid">
        <fgColor theme="0"/>
        <bgColor indexed="64"/>
      </patternFill>
    </fill>
    <fill>
      <patternFill patternType="solid">
        <fgColor rgb="FFFFCCFF"/>
        <bgColor indexed="64"/>
      </patternFill>
    </fill>
    <fill>
      <patternFill patternType="solid">
        <fgColor rgb="FFFFFF00"/>
        <bgColor indexed="64"/>
      </patternFill>
    </fill>
    <fill>
      <patternFill patternType="solid">
        <fgColor theme="7" tint="0.79998168889431442"/>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rgb="FF66FFFF"/>
        <bgColor indexed="64"/>
      </patternFill>
    </fill>
  </fills>
  <borders count="6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hair">
        <color indexed="64"/>
      </left>
      <right/>
      <top/>
      <bottom/>
      <diagonal/>
    </border>
    <border>
      <left/>
      <right style="thin">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ck">
        <color rgb="FFFF0000"/>
      </left>
      <right style="thin">
        <color indexed="64"/>
      </right>
      <top style="thick">
        <color rgb="FFFF0000"/>
      </top>
      <bottom style="thin">
        <color indexed="64"/>
      </bottom>
      <diagonal/>
    </border>
    <border>
      <left style="thin">
        <color indexed="64"/>
      </left>
      <right style="thin">
        <color indexed="64"/>
      </right>
      <top style="thick">
        <color rgb="FFFF0000"/>
      </top>
      <bottom style="thin">
        <color indexed="64"/>
      </bottom>
      <diagonal/>
    </border>
    <border>
      <left style="thin">
        <color indexed="64"/>
      </left>
      <right style="thick">
        <color rgb="FFFF0000"/>
      </right>
      <top style="thick">
        <color rgb="FFFF0000"/>
      </top>
      <bottom style="thin">
        <color indexed="64"/>
      </bottom>
      <diagonal/>
    </border>
    <border>
      <left style="thick">
        <color rgb="FFFF0000"/>
      </left>
      <right style="thin">
        <color indexed="64"/>
      </right>
      <top style="thin">
        <color indexed="64"/>
      </top>
      <bottom style="thin">
        <color indexed="64"/>
      </bottom>
      <diagonal/>
    </border>
    <border>
      <left style="thin">
        <color indexed="64"/>
      </left>
      <right style="thick">
        <color rgb="FFFF0000"/>
      </right>
      <top style="thin">
        <color indexed="64"/>
      </top>
      <bottom style="thin">
        <color indexed="64"/>
      </bottom>
      <diagonal/>
    </border>
    <border>
      <left style="thick">
        <color rgb="FFFF0000"/>
      </left>
      <right style="thin">
        <color indexed="64"/>
      </right>
      <top style="thin">
        <color indexed="64"/>
      </top>
      <bottom style="thick">
        <color rgb="FFFF0000"/>
      </bottom>
      <diagonal/>
    </border>
    <border>
      <left style="thin">
        <color indexed="64"/>
      </left>
      <right style="thin">
        <color indexed="64"/>
      </right>
      <top style="thin">
        <color indexed="64"/>
      </top>
      <bottom style="thick">
        <color rgb="FFFF0000"/>
      </bottom>
      <diagonal/>
    </border>
    <border>
      <left style="thin">
        <color indexed="64"/>
      </left>
      <right style="thick">
        <color rgb="FFFF0000"/>
      </right>
      <top style="thin">
        <color indexed="64"/>
      </top>
      <bottom style="thick">
        <color rgb="FFFF0000"/>
      </bottom>
      <diagonal/>
    </border>
    <border>
      <left style="thick">
        <color rgb="FFFF0000"/>
      </left>
      <right style="thin">
        <color indexed="64"/>
      </right>
      <top/>
      <bottom style="thin">
        <color indexed="64"/>
      </bottom>
      <diagonal/>
    </border>
    <border>
      <left style="thin">
        <color indexed="64"/>
      </left>
      <right style="thick">
        <color rgb="FFFF0000"/>
      </right>
      <top/>
      <bottom style="thin">
        <color indexed="64"/>
      </bottom>
      <diagonal/>
    </border>
    <border>
      <left/>
      <right style="thick">
        <color rgb="FFFF0000"/>
      </right>
      <top/>
      <bottom/>
      <diagonal/>
    </border>
    <border>
      <left/>
      <right style="hair">
        <color indexed="64"/>
      </right>
      <top style="thin">
        <color indexed="64"/>
      </top>
      <bottom style="thin">
        <color indexed="64"/>
      </bottom>
      <diagonal/>
    </border>
    <border>
      <left style="thin">
        <color indexed="64"/>
      </left>
      <right style="thin">
        <color indexed="64"/>
      </right>
      <top/>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top style="thin">
        <color indexed="64"/>
      </top>
      <bottom/>
      <diagonal/>
    </border>
    <border>
      <left style="hair">
        <color indexed="64"/>
      </left>
      <right style="thin">
        <color indexed="64"/>
      </right>
      <top style="thin">
        <color indexed="64"/>
      </top>
      <bottom/>
      <diagonal/>
    </border>
    <border>
      <left style="thin">
        <color indexed="64"/>
      </left>
      <right style="thin">
        <color indexed="64"/>
      </right>
      <top/>
      <bottom style="hair">
        <color indexed="64"/>
      </bottom>
      <diagonal/>
    </border>
    <border>
      <left style="thick">
        <color auto="1"/>
      </left>
      <right style="thin">
        <color indexed="64"/>
      </right>
      <top/>
      <bottom style="thin">
        <color indexed="64"/>
      </bottom>
      <diagonal/>
    </border>
    <border>
      <left style="thin">
        <color indexed="64"/>
      </left>
      <right style="thick">
        <color auto="1"/>
      </right>
      <top/>
      <bottom style="thin">
        <color indexed="64"/>
      </bottom>
      <diagonal/>
    </border>
    <border>
      <left style="thick">
        <color auto="1"/>
      </left>
      <right style="thin">
        <color indexed="64"/>
      </right>
      <top style="thin">
        <color indexed="64"/>
      </top>
      <bottom style="thin">
        <color indexed="64"/>
      </bottom>
      <diagonal/>
    </border>
    <border>
      <left style="thin">
        <color indexed="64"/>
      </left>
      <right style="thick">
        <color auto="1"/>
      </right>
      <top style="thin">
        <color indexed="64"/>
      </top>
      <bottom style="thin">
        <color indexed="64"/>
      </bottom>
      <diagonal/>
    </border>
    <border>
      <left style="thick">
        <color auto="1"/>
      </left>
      <right style="thin">
        <color indexed="64"/>
      </right>
      <top style="thin">
        <color indexed="64"/>
      </top>
      <bottom style="thick">
        <color auto="1"/>
      </bottom>
      <diagonal/>
    </border>
    <border>
      <left style="thin">
        <color indexed="64"/>
      </left>
      <right style="thin">
        <color indexed="64"/>
      </right>
      <top style="thin">
        <color indexed="64"/>
      </top>
      <bottom style="thick">
        <color auto="1"/>
      </bottom>
      <diagonal/>
    </border>
    <border>
      <left style="thin">
        <color indexed="64"/>
      </left>
      <right style="thick">
        <color auto="1"/>
      </right>
      <top style="thin">
        <color indexed="64"/>
      </top>
      <bottom style="thick">
        <color auto="1"/>
      </bottom>
      <diagonal/>
    </border>
    <border>
      <left style="thick">
        <color auto="1"/>
      </left>
      <right/>
      <top style="thick">
        <color auto="1"/>
      </top>
      <bottom style="thin">
        <color indexed="64"/>
      </bottom>
      <diagonal/>
    </border>
    <border>
      <left/>
      <right/>
      <top style="thick">
        <color auto="1"/>
      </top>
      <bottom style="thin">
        <color indexed="64"/>
      </bottom>
      <diagonal/>
    </border>
    <border>
      <left/>
      <right style="thick">
        <color auto="1"/>
      </right>
      <top style="thick">
        <color auto="1"/>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cellStyleXfs>
  <cellXfs count="332">
    <xf numFmtId="0" fontId="0" fillId="0" borderId="0" xfId="0">
      <alignment vertical="center"/>
    </xf>
    <xf numFmtId="0" fontId="0" fillId="5" borderId="1" xfId="0" applyFill="1" applyBorder="1">
      <alignment vertical="center"/>
    </xf>
    <xf numFmtId="0" fontId="0" fillId="5" borderId="0" xfId="0" applyFill="1">
      <alignment vertical="center"/>
    </xf>
    <xf numFmtId="0" fontId="0" fillId="5" borderId="2" xfId="0" applyFill="1" applyBorder="1">
      <alignment vertical="center"/>
    </xf>
    <xf numFmtId="0" fontId="0" fillId="5" borderId="3" xfId="0" applyFill="1" applyBorder="1">
      <alignment vertical="center"/>
    </xf>
    <xf numFmtId="0" fontId="0" fillId="5" borderId="4" xfId="0" applyFill="1" applyBorder="1">
      <alignment vertical="center"/>
    </xf>
    <xf numFmtId="176" fontId="0" fillId="5" borderId="2" xfId="0" applyNumberFormat="1" applyFill="1" applyBorder="1">
      <alignment vertical="center"/>
    </xf>
    <xf numFmtId="0" fontId="0" fillId="5" borderId="0" xfId="0" applyFill="1" applyAlignment="1">
      <alignment horizontal="center" vertical="center"/>
    </xf>
    <xf numFmtId="176" fontId="0" fillId="5" borderId="1" xfId="0" applyNumberFormat="1" applyFill="1" applyBorder="1">
      <alignment vertical="center"/>
    </xf>
    <xf numFmtId="38" fontId="0" fillId="5" borderId="2" xfId="1" applyFont="1" applyFill="1" applyBorder="1">
      <alignment vertical="center"/>
    </xf>
    <xf numFmtId="38" fontId="0" fillId="5" borderId="3" xfId="1" applyFont="1" applyFill="1" applyBorder="1">
      <alignment vertical="center"/>
    </xf>
    <xf numFmtId="38" fontId="0" fillId="5" borderId="4" xfId="1" applyFont="1" applyFill="1" applyBorder="1">
      <alignment vertical="center"/>
    </xf>
    <xf numFmtId="38" fontId="0" fillId="5" borderId="0" xfId="1" applyFont="1" applyFill="1" applyBorder="1">
      <alignment vertical="center"/>
    </xf>
    <xf numFmtId="178" fontId="0" fillId="5" borderId="2" xfId="2" applyNumberFormat="1" applyFont="1" applyFill="1" applyBorder="1">
      <alignment vertical="center"/>
    </xf>
    <xf numFmtId="178" fontId="0" fillId="5" borderId="3" xfId="2" applyNumberFormat="1" applyFont="1" applyFill="1" applyBorder="1">
      <alignment vertical="center"/>
    </xf>
    <xf numFmtId="178" fontId="0" fillId="5" borderId="4" xfId="2" applyNumberFormat="1" applyFont="1" applyFill="1" applyBorder="1">
      <alignment vertical="center"/>
    </xf>
    <xf numFmtId="38" fontId="0" fillId="5" borderId="4" xfId="0" applyNumberFormat="1" applyFill="1" applyBorder="1">
      <alignment vertical="center"/>
    </xf>
    <xf numFmtId="38" fontId="0" fillId="5" borderId="1" xfId="1" applyFont="1" applyFill="1" applyBorder="1">
      <alignment vertical="center"/>
    </xf>
    <xf numFmtId="177" fontId="0" fillId="5" borderId="1" xfId="0" applyNumberFormat="1" applyFill="1" applyBorder="1" applyAlignment="1">
      <alignment horizontal="center" vertical="center"/>
    </xf>
    <xf numFmtId="0" fontId="0" fillId="4" borderId="1" xfId="0" applyFill="1" applyBorder="1" applyAlignment="1">
      <alignment horizontal="center" vertical="center"/>
    </xf>
    <xf numFmtId="0" fontId="7" fillId="5" borderId="0" xfId="0" applyFont="1" applyFill="1">
      <alignment vertical="center"/>
    </xf>
    <xf numFmtId="0" fontId="8" fillId="5" borderId="0" xfId="0" applyFont="1" applyFill="1">
      <alignment vertical="center"/>
    </xf>
    <xf numFmtId="0" fontId="0" fillId="4" borderId="3" xfId="0" applyFill="1" applyBorder="1">
      <alignment vertical="center"/>
    </xf>
    <xf numFmtId="0" fontId="0" fillId="4" borderId="4" xfId="0" applyFill="1" applyBorder="1">
      <alignment vertical="center"/>
    </xf>
    <xf numFmtId="0" fontId="0" fillId="3" borderId="8" xfId="0" applyFill="1" applyBorder="1">
      <alignment vertical="center"/>
    </xf>
    <xf numFmtId="0" fontId="0" fillId="3" borderId="9" xfId="0" applyFill="1" applyBorder="1">
      <alignment vertical="center"/>
    </xf>
    <xf numFmtId="0" fontId="0" fillId="3" borderId="10" xfId="0" applyFill="1" applyBorder="1">
      <alignment vertical="center"/>
    </xf>
    <xf numFmtId="0" fontId="0" fillId="3" borderId="11" xfId="0" applyFill="1" applyBorder="1">
      <alignment vertical="center"/>
    </xf>
    <xf numFmtId="177" fontId="0" fillId="5" borderId="2" xfId="0" applyNumberFormat="1" applyFill="1" applyBorder="1">
      <alignment vertical="center"/>
    </xf>
    <xf numFmtId="177" fontId="0" fillId="5" borderId="3" xfId="0" applyNumberFormat="1" applyFill="1" applyBorder="1">
      <alignment vertical="center"/>
    </xf>
    <xf numFmtId="177" fontId="0" fillId="5" borderId="4" xfId="0" applyNumberFormat="1" applyFill="1" applyBorder="1">
      <alignment vertical="center"/>
    </xf>
    <xf numFmtId="0" fontId="0" fillId="5" borderId="2" xfId="0" applyFill="1" applyBorder="1" applyAlignment="1">
      <alignment horizontal="center" vertical="center"/>
    </xf>
    <xf numFmtId="0" fontId="0" fillId="5" borderId="3" xfId="0" applyFill="1" applyBorder="1" applyAlignment="1">
      <alignment horizontal="center" vertical="center"/>
    </xf>
    <xf numFmtId="0" fontId="0" fillId="5" borderId="4" xfId="0" applyFill="1" applyBorder="1" applyAlignment="1">
      <alignment horizontal="center" vertical="center"/>
    </xf>
    <xf numFmtId="0" fontId="10" fillId="5" borderId="0" xfId="0" applyFont="1" applyFill="1">
      <alignment vertical="center"/>
    </xf>
    <xf numFmtId="0" fontId="7" fillId="5" borderId="0" xfId="0" applyFont="1" applyFill="1" applyAlignment="1">
      <alignment horizontal="left" vertical="center"/>
    </xf>
    <xf numFmtId="38" fontId="10" fillId="5" borderId="0" xfId="1" applyFont="1" applyFill="1" applyBorder="1" applyAlignment="1">
      <alignment vertical="center"/>
    </xf>
    <xf numFmtId="38" fontId="7" fillId="5" borderId="0" xfId="1" applyFont="1" applyFill="1" applyBorder="1" applyAlignment="1">
      <alignment vertical="center"/>
    </xf>
    <xf numFmtId="9" fontId="0" fillId="5" borderId="1" xfId="2" applyFont="1" applyFill="1" applyBorder="1">
      <alignment vertical="center"/>
    </xf>
    <xf numFmtId="0" fontId="11" fillId="5" borderId="0" xfId="0" applyFont="1" applyFill="1">
      <alignment vertical="center"/>
    </xf>
    <xf numFmtId="0" fontId="0" fillId="2" borderId="8" xfId="0" applyFill="1" applyBorder="1">
      <alignment vertical="center"/>
    </xf>
    <xf numFmtId="0" fontId="0" fillId="2" borderId="9" xfId="0" applyFill="1" applyBorder="1">
      <alignment vertical="center"/>
    </xf>
    <xf numFmtId="0" fontId="5" fillId="2" borderId="6" xfId="0" applyFont="1" applyFill="1" applyBorder="1" applyAlignment="1">
      <alignment vertical="center" wrapText="1"/>
    </xf>
    <xf numFmtId="0" fontId="5" fillId="2" borderId="7" xfId="0" applyFont="1" applyFill="1" applyBorder="1" applyAlignment="1">
      <alignment vertical="center" wrapText="1"/>
    </xf>
    <xf numFmtId="0" fontId="0" fillId="2" borderId="10" xfId="0" applyFill="1" applyBorder="1">
      <alignment vertical="center"/>
    </xf>
    <xf numFmtId="0" fontId="0" fillId="2" borderId="11" xfId="0" applyFill="1" applyBorder="1">
      <alignment vertical="center"/>
    </xf>
    <xf numFmtId="0" fontId="5" fillId="5" borderId="12" xfId="0" applyFont="1" applyFill="1" applyBorder="1" applyAlignment="1">
      <alignment horizontal="center" vertical="center"/>
    </xf>
    <xf numFmtId="180" fontId="0" fillId="5" borderId="4" xfId="1" applyNumberFormat="1" applyFont="1" applyFill="1" applyBorder="1">
      <alignment vertical="center"/>
    </xf>
    <xf numFmtId="180" fontId="0" fillId="5" borderId="2" xfId="1" applyNumberFormat="1" applyFont="1" applyFill="1" applyBorder="1">
      <alignment vertical="center"/>
    </xf>
    <xf numFmtId="177" fontId="0" fillId="5" borderId="12" xfId="0" applyNumberFormat="1" applyFill="1" applyBorder="1">
      <alignment vertical="center"/>
    </xf>
    <xf numFmtId="0" fontId="0" fillId="5" borderId="12" xfId="0" applyFill="1" applyBorder="1">
      <alignment vertical="center"/>
    </xf>
    <xf numFmtId="38" fontId="0" fillId="5" borderId="12" xfId="1" applyFont="1" applyFill="1" applyBorder="1">
      <alignment vertical="center"/>
    </xf>
    <xf numFmtId="178" fontId="0" fillId="5" borderId="12" xfId="2" applyNumberFormat="1" applyFont="1" applyFill="1" applyBorder="1">
      <alignment vertical="center"/>
    </xf>
    <xf numFmtId="177" fontId="0" fillId="5" borderId="0" xfId="0" applyNumberFormat="1" applyFill="1">
      <alignment vertical="center"/>
    </xf>
    <xf numFmtId="178" fontId="0" fillId="5" borderId="0" xfId="2" applyNumberFormat="1" applyFont="1" applyFill="1" applyBorder="1">
      <alignment vertical="center"/>
    </xf>
    <xf numFmtId="0" fontId="4" fillId="5" borderId="0" xfId="0" applyFont="1" applyFill="1">
      <alignment vertical="center"/>
    </xf>
    <xf numFmtId="0" fontId="0" fillId="6" borderId="8" xfId="0" applyFill="1" applyBorder="1">
      <alignment vertical="center"/>
    </xf>
    <xf numFmtId="0" fontId="0" fillId="6" borderId="9" xfId="0" applyFill="1" applyBorder="1">
      <alignment vertical="center"/>
    </xf>
    <xf numFmtId="0" fontId="0" fillId="6" borderId="10" xfId="0" applyFill="1" applyBorder="1">
      <alignment vertical="center"/>
    </xf>
    <xf numFmtId="0" fontId="0" fillId="6" borderId="11" xfId="0" applyFill="1" applyBorder="1">
      <alignment vertical="center"/>
    </xf>
    <xf numFmtId="0" fontId="3" fillId="2" borderId="6" xfId="0" applyFont="1" applyFill="1" applyBorder="1" applyAlignment="1">
      <alignment vertical="center" wrapText="1"/>
    </xf>
    <xf numFmtId="181" fontId="0" fillId="5" borderId="0" xfId="0" applyNumberFormat="1" applyFill="1" applyAlignment="1">
      <alignment horizontal="center" vertical="center"/>
    </xf>
    <xf numFmtId="0" fontId="5" fillId="5" borderId="0" xfId="0" applyFont="1" applyFill="1" applyAlignment="1">
      <alignment horizontal="center" vertical="center"/>
    </xf>
    <xf numFmtId="0" fontId="0" fillId="5" borderId="5" xfId="0" applyFill="1" applyBorder="1">
      <alignment vertical="center"/>
    </xf>
    <xf numFmtId="0" fontId="15" fillId="5" borderId="0" xfId="0" applyFont="1" applyFill="1">
      <alignment vertical="center"/>
    </xf>
    <xf numFmtId="0" fontId="0" fillId="5" borderId="13" xfId="0" applyFill="1" applyBorder="1">
      <alignment vertical="center"/>
    </xf>
    <xf numFmtId="38" fontId="0" fillId="5" borderId="13" xfId="1" applyFont="1" applyFill="1" applyBorder="1">
      <alignment vertical="center"/>
    </xf>
    <xf numFmtId="38" fontId="10" fillId="5" borderId="0" xfId="0" applyNumberFormat="1" applyFont="1" applyFill="1">
      <alignment vertical="center"/>
    </xf>
    <xf numFmtId="0" fontId="16" fillId="5" borderId="0" xfId="0" applyFont="1" applyFill="1">
      <alignment vertical="center"/>
    </xf>
    <xf numFmtId="0" fontId="17" fillId="5" borderId="0" xfId="0" applyFont="1" applyFill="1">
      <alignment vertical="center"/>
    </xf>
    <xf numFmtId="38" fontId="0" fillId="5" borderId="0" xfId="1" applyFont="1" applyFill="1">
      <alignment vertical="center"/>
    </xf>
    <xf numFmtId="9" fontId="10" fillId="5" borderId="0" xfId="0" applyNumberFormat="1" applyFont="1" applyFill="1">
      <alignment vertical="center"/>
    </xf>
    <xf numFmtId="40" fontId="7" fillId="5" borderId="0" xfId="1" applyNumberFormat="1" applyFont="1" applyFill="1">
      <alignment vertical="center"/>
    </xf>
    <xf numFmtId="182" fontId="6" fillId="5" borderId="1" xfId="0" applyNumberFormat="1" applyFont="1" applyFill="1" applyBorder="1" applyAlignment="1">
      <alignment horizontal="center" vertical="center"/>
    </xf>
    <xf numFmtId="0" fontId="0" fillId="7" borderId="8" xfId="0" applyFill="1" applyBorder="1">
      <alignment vertical="center"/>
    </xf>
    <xf numFmtId="0" fontId="0" fillId="7" borderId="9" xfId="0" applyFill="1" applyBorder="1">
      <alignment vertical="center"/>
    </xf>
    <xf numFmtId="0" fontId="0" fillId="7" borderId="10" xfId="0" applyFill="1" applyBorder="1">
      <alignment vertical="center"/>
    </xf>
    <xf numFmtId="0" fontId="0" fillId="7" borderId="11" xfId="0" applyFill="1" applyBorder="1">
      <alignment vertical="center"/>
    </xf>
    <xf numFmtId="177" fontId="13" fillId="5" borderId="1" xfId="0" applyNumberFormat="1" applyFont="1" applyFill="1" applyBorder="1" applyAlignment="1">
      <alignment horizontal="center" vertical="center"/>
    </xf>
    <xf numFmtId="0" fontId="4" fillId="0" borderId="21" xfId="0" applyFont="1" applyBorder="1" applyAlignment="1">
      <alignment horizontal="center" vertical="center" wrapText="1"/>
    </xf>
    <xf numFmtId="0" fontId="4" fillId="0" borderId="0" xfId="0" applyFont="1" applyAlignment="1">
      <alignment horizontal="center" vertical="center"/>
    </xf>
    <xf numFmtId="0" fontId="7" fillId="5" borderId="0" xfId="0" applyFont="1" applyFill="1" applyAlignment="1">
      <alignment horizontal="center" vertical="center"/>
    </xf>
    <xf numFmtId="38" fontId="7" fillId="5" borderId="0" xfId="0" applyNumberFormat="1" applyFont="1" applyFill="1">
      <alignment vertical="center"/>
    </xf>
    <xf numFmtId="0" fontId="18" fillId="5" borderId="0" xfId="0" applyFont="1" applyFill="1">
      <alignment vertical="center"/>
    </xf>
    <xf numFmtId="0" fontId="9" fillId="5" borderId="0" xfId="0" applyFont="1" applyFill="1">
      <alignment vertical="center"/>
    </xf>
    <xf numFmtId="38" fontId="0" fillId="5" borderId="0" xfId="0" applyNumberFormat="1" applyFill="1">
      <alignment vertical="center"/>
    </xf>
    <xf numFmtId="0" fontId="10" fillId="5" borderId="0" xfId="0" applyFont="1" applyFill="1" applyAlignment="1">
      <alignment horizontal="center" vertical="center"/>
    </xf>
    <xf numFmtId="38" fontId="10" fillId="5" borderId="0" xfId="1" applyFont="1" applyFill="1" applyBorder="1" applyAlignment="1">
      <alignment horizontal="center" vertical="center"/>
    </xf>
    <xf numFmtId="0" fontId="0" fillId="0" borderId="1" xfId="0" applyBorder="1" applyAlignment="1">
      <alignment horizontal="center" vertical="center" wrapText="1"/>
    </xf>
    <xf numFmtId="0" fontId="7" fillId="5" borderId="23" xfId="0" applyFont="1" applyFill="1" applyBorder="1">
      <alignment vertical="center"/>
    </xf>
    <xf numFmtId="0" fontId="7" fillId="5" borderId="24" xfId="0" applyFont="1" applyFill="1" applyBorder="1">
      <alignment vertical="center"/>
    </xf>
    <xf numFmtId="0" fontId="7" fillId="5" borderId="25" xfId="0" applyFont="1" applyFill="1" applyBorder="1">
      <alignment vertical="center"/>
    </xf>
    <xf numFmtId="0" fontId="7" fillId="5" borderId="26" xfId="0" applyFont="1" applyFill="1" applyBorder="1">
      <alignment vertical="center"/>
    </xf>
    <xf numFmtId="0" fontId="7" fillId="5" borderId="27" xfId="0" applyFont="1" applyFill="1" applyBorder="1">
      <alignment vertical="center"/>
    </xf>
    <xf numFmtId="0" fontId="7" fillId="5" borderId="28" xfId="0" applyFont="1" applyFill="1" applyBorder="1">
      <alignment vertical="center"/>
    </xf>
    <xf numFmtId="0" fontId="7" fillId="5" borderId="29" xfId="0" applyFont="1" applyFill="1" applyBorder="1">
      <alignment vertical="center"/>
    </xf>
    <xf numFmtId="0" fontId="7" fillId="5" borderId="30" xfId="0" applyFont="1" applyFill="1" applyBorder="1">
      <alignment vertical="center"/>
    </xf>
    <xf numFmtId="0" fontId="9" fillId="5" borderId="23" xfId="0" applyFont="1" applyFill="1" applyBorder="1">
      <alignment vertical="center"/>
    </xf>
    <xf numFmtId="0" fontId="9" fillId="5" borderId="24" xfId="0" applyFont="1" applyFill="1" applyBorder="1">
      <alignment vertical="center"/>
    </xf>
    <xf numFmtId="0" fontId="9" fillId="5" borderId="25" xfId="0" applyFont="1" applyFill="1" applyBorder="1">
      <alignment vertical="center"/>
    </xf>
    <xf numFmtId="0" fontId="9" fillId="5" borderId="26" xfId="0" applyFont="1" applyFill="1" applyBorder="1" applyAlignment="1">
      <alignment horizontal="right" vertical="center"/>
    </xf>
    <xf numFmtId="0" fontId="9" fillId="5" borderId="27" xfId="0" applyFont="1" applyFill="1" applyBorder="1">
      <alignment vertical="center"/>
    </xf>
    <xf numFmtId="0" fontId="9" fillId="5" borderId="26" xfId="0" applyFont="1" applyFill="1" applyBorder="1">
      <alignment vertical="center"/>
    </xf>
    <xf numFmtId="0" fontId="9" fillId="5" borderId="28" xfId="0" applyFont="1" applyFill="1" applyBorder="1">
      <alignment vertical="center"/>
    </xf>
    <xf numFmtId="0" fontId="9" fillId="5" borderId="29" xfId="0" applyFont="1" applyFill="1" applyBorder="1">
      <alignment vertical="center"/>
    </xf>
    <xf numFmtId="0" fontId="9" fillId="5" borderId="30" xfId="0" applyFont="1" applyFill="1" applyBorder="1">
      <alignment vertical="center"/>
    </xf>
    <xf numFmtId="177" fontId="10" fillId="5" borderId="0" xfId="0" applyNumberFormat="1" applyFont="1" applyFill="1" applyAlignment="1">
      <alignment horizontal="center" vertical="center"/>
    </xf>
    <xf numFmtId="0" fontId="21" fillId="5" borderId="0" xfId="0" applyFont="1" applyFill="1" applyAlignment="1">
      <alignment horizontal="center" vertical="center"/>
    </xf>
    <xf numFmtId="0" fontId="22" fillId="5" borderId="0" xfId="0" applyFont="1" applyFill="1">
      <alignment vertical="center"/>
    </xf>
    <xf numFmtId="38" fontId="7" fillId="5" borderId="0" xfId="0" applyNumberFormat="1" applyFont="1" applyFill="1" applyAlignment="1">
      <alignment horizontal="left" vertical="center"/>
    </xf>
    <xf numFmtId="9" fontId="7" fillId="5" borderId="0" xfId="0" applyNumberFormat="1" applyFont="1" applyFill="1">
      <alignment vertical="center"/>
    </xf>
    <xf numFmtId="9" fontId="10" fillId="5" borderId="0" xfId="2" applyFont="1" applyFill="1" applyBorder="1" applyAlignment="1">
      <alignment vertical="center"/>
    </xf>
    <xf numFmtId="179" fontId="10" fillId="5" borderId="0" xfId="1" applyNumberFormat="1" applyFont="1" applyFill="1" applyBorder="1" applyAlignment="1">
      <alignment vertical="center"/>
    </xf>
    <xf numFmtId="0" fontId="24" fillId="5" borderId="0" xfId="0" applyFont="1" applyFill="1">
      <alignment vertical="center"/>
    </xf>
    <xf numFmtId="0" fontId="26" fillId="5" borderId="0" xfId="0" applyFont="1" applyFill="1">
      <alignment vertical="center"/>
    </xf>
    <xf numFmtId="0" fontId="12" fillId="5" borderId="0" xfId="0" applyFont="1" applyFill="1">
      <alignment vertical="center"/>
    </xf>
    <xf numFmtId="182" fontId="18" fillId="5" borderId="1" xfId="0" applyNumberFormat="1" applyFont="1" applyFill="1" applyBorder="1" applyAlignment="1">
      <alignment horizontal="center" vertical="center"/>
    </xf>
    <xf numFmtId="0" fontId="18" fillId="5" borderId="0" xfId="0" applyFont="1" applyFill="1" applyAlignment="1">
      <alignment horizontal="left" vertical="center"/>
    </xf>
    <xf numFmtId="182" fontId="18" fillId="5" borderId="35" xfId="0" applyNumberFormat="1" applyFont="1" applyFill="1" applyBorder="1" applyAlignment="1">
      <alignment horizontal="center" vertical="center"/>
    </xf>
    <xf numFmtId="0" fontId="25" fillId="4" borderId="34" xfId="0" applyFont="1" applyFill="1" applyBorder="1">
      <alignment vertical="center"/>
    </xf>
    <xf numFmtId="182" fontId="6" fillId="5" borderId="35" xfId="0" applyNumberFormat="1" applyFont="1" applyFill="1" applyBorder="1" applyAlignment="1">
      <alignment horizontal="center" vertical="center"/>
    </xf>
    <xf numFmtId="0" fontId="25" fillId="4" borderId="36" xfId="0" applyFont="1" applyFill="1" applyBorder="1">
      <alignment vertical="center"/>
    </xf>
    <xf numFmtId="182" fontId="6" fillId="5" borderId="37" xfId="0" applyNumberFormat="1" applyFont="1" applyFill="1" applyBorder="1" applyAlignment="1">
      <alignment horizontal="center" vertical="center"/>
    </xf>
    <xf numFmtId="182" fontId="6" fillId="5" borderId="38" xfId="0" applyNumberFormat="1" applyFont="1" applyFill="1" applyBorder="1" applyAlignment="1">
      <alignment horizontal="center" vertical="center"/>
    </xf>
    <xf numFmtId="0" fontId="6" fillId="10" borderId="1" xfId="0" applyFont="1" applyFill="1" applyBorder="1" applyAlignment="1">
      <alignment horizontal="center" vertical="center"/>
    </xf>
    <xf numFmtId="0" fontId="25" fillId="10" borderId="1" xfId="0" applyFont="1" applyFill="1" applyBorder="1">
      <alignment vertical="center"/>
    </xf>
    <xf numFmtId="0" fontId="18" fillId="4" borderId="39" xfId="0" applyFont="1" applyFill="1" applyBorder="1">
      <alignment vertical="center"/>
    </xf>
    <xf numFmtId="0" fontId="18" fillId="4" borderId="7" xfId="0" applyFont="1" applyFill="1" applyBorder="1" applyAlignment="1">
      <alignment horizontal="center" vertical="center"/>
    </xf>
    <xf numFmtId="0" fontId="18" fillId="4" borderId="40" xfId="0" applyFont="1" applyFill="1" applyBorder="1" applyAlignment="1">
      <alignment horizontal="center" vertical="center"/>
    </xf>
    <xf numFmtId="38" fontId="0" fillId="5" borderId="6" xfId="1" applyFont="1" applyFill="1" applyBorder="1">
      <alignment vertical="center"/>
    </xf>
    <xf numFmtId="0" fontId="29" fillId="5" borderId="0" xfId="0" applyFont="1" applyFill="1">
      <alignment vertical="center"/>
    </xf>
    <xf numFmtId="0" fontId="30" fillId="5" borderId="0" xfId="0" applyFont="1" applyFill="1">
      <alignment vertical="center"/>
    </xf>
    <xf numFmtId="0" fontId="31" fillId="5" borderId="0" xfId="0" applyFont="1" applyFill="1">
      <alignment vertical="center"/>
    </xf>
    <xf numFmtId="185" fontId="10" fillId="5" borderId="0" xfId="0" applyNumberFormat="1" applyFont="1" applyFill="1">
      <alignment vertical="center"/>
    </xf>
    <xf numFmtId="177" fontId="7" fillId="5" borderId="0" xfId="0" applyNumberFormat="1" applyFont="1" applyFill="1">
      <alignment vertical="center"/>
    </xf>
    <xf numFmtId="0" fontId="3" fillId="0" borderId="44" xfId="0" applyFont="1" applyBorder="1" applyAlignment="1">
      <alignment horizontal="center" vertical="center" wrapText="1"/>
    </xf>
    <xf numFmtId="0" fontId="4" fillId="0" borderId="45" xfId="0" applyFont="1" applyBorder="1" applyAlignment="1">
      <alignment horizontal="center" vertical="center" wrapText="1"/>
    </xf>
    <xf numFmtId="0" fontId="4" fillId="0" borderId="46" xfId="0" applyFont="1" applyBorder="1" applyAlignment="1">
      <alignment horizontal="center" vertical="center" wrapText="1"/>
    </xf>
    <xf numFmtId="0" fontId="4" fillId="0" borderId="44" xfId="0" applyFont="1" applyBorder="1" applyAlignment="1">
      <alignment horizontal="center" vertical="center" wrapText="1"/>
    </xf>
    <xf numFmtId="0" fontId="4" fillId="0" borderId="47" xfId="0" applyFont="1" applyBorder="1" applyAlignment="1">
      <alignment horizontal="center" vertical="center" wrapText="1"/>
    </xf>
    <xf numFmtId="0" fontId="3" fillId="0" borderId="44" xfId="0" applyFont="1" applyBorder="1" applyAlignment="1">
      <alignment horizontal="center" vertical="center"/>
    </xf>
    <xf numFmtId="0" fontId="3" fillId="0" borderId="45" xfId="0" applyFont="1" applyBorder="1" applyAlignment="1">
      <alignment horizontal="center" vertical="center" wrapText="1"/>
    </xf>
    <xf numFmtId="0" fontId="3" fillId="0" borderId="47" xfId="0" applyFont="1" applyBorder="1" applyAlignment="1">
      <alignment horizontal="center" vertical="center" wrapText="1"/>
    </xf>
    <xf numFmtId="38" fontId="3" fillId="0" borderId="17" xfId="1" applyFont="1" applyBorder="1" applyAlignment="1">
      <alignment horizontal="right" vertical="center" wrapText="1"/>
    </xf>
    <xf numFmtId="38" fontId="3" fillId="0" borderId="18" xfId="1" applyFont="1" applyBorder="1" applyAlignment="1">
      <alignment horizontal="right" vertical="center" wrapText="1"/>
    </xf>
    <xf numFmtId="38" fontId="3" fillId="0" borderId="42" xfId="1" applyFont="1" applyBorder="1" applyAlignment="1">
      <alignment horizontal="right" vertical="center" wrapText="1"/>
    </xf>
    <xf numFmtId="38" fontId="3" fillId="0" borderId="20" xfId="1" applyFont="1" applyBorder="1" applyAlignment="1">
      <alignment horizontal="right" vertical="center" wrapText="1"/>
    </xf>
    <xf numFmtId="178" fontId="3" fillId="0" borderId="42" xfId="2" applyNumberFormat="1" applyFont="1" applyBorder="1" applyAlignment="1">
      <alignment horizontal="right" vertical="center" wrapText="1"/>
    </xf>
    <xf numFmtId="178" fontId="3" fillId="0" borderId="17" xfId="2" applyNumberFormat="1" applyFont="1" applyBorder="1" applyAlignment="1">
      <alignment horizontal="right" vertical="center" wrapText="1"/>
    </xf>
    <xf numFmtId="178" fontId="3" fillId="0" borderId="18" xfId="2" applyNumberFormat="1" applyFont="1" applyBorder="1" applyAlignment="1">
      <alignment horizontal="right" vertical="center" wrapText="1"/>
    </xf>
    <xf numFmtId="178" fontId="3" fillId="0" borderId="20" xfId="2" applyNumberFormat="1" applyFont="1" applyBorder="1" applyAlignment="1">
      <alignment horizontal="right" vertical="center" wrapText="1"/>
    </xf>
    <xf numFmtId="178" fontId="10" fillId="5" borderId="0" xfId="2" applyNumberFormat="1" applyFont="1" applyFill="1">
      <alignment vertical="center"/>
    </xf>
    <xf numFmtId="0" fontId="10" fillId="5" borderId="0" xfId="0" applyFont="1" applyFill="1" applyAlignment="1">
      <alignment horizontal="left" vertical="center"/>
    </xf>
    <xf numFmtId="0" fontId="0" fillId="4" borderId="48" xfId="0" applyFill="1" applyBorder="1">
      <alignment vertical="center"/>
    </xf>
    <xf numFmtId="0" fontId="0" fillId="5" borderId="48" xfId="0" applyFill="1" applyBorder="1" applyAlignment="1">
      <alignment horizontal="center" vertical="center"/>
    </xf>
    <xf numFmtId="0" fontId="0" fillId="4" borderId="2" xfId="0" applyFill="1" applyBorder="1" applyAlignment="1">
      <alignment horizontal="left" vertical="center"/>
    </xf>
    <xf numFmtId="0" fontId="29" fillId="5" borderId="0" xfId="0" applyFont="1" applyFill="1" applyAlignment="1">
      <alignment horizontal="center" vertical="center"/>
    </xf>
    <xf numFmtId="178" fontId="10" fillId="5" borderId="0" xfId="2" applyNumberFormat="1" applyFont="1" applyFill="1" applyAlignment="1">
      <alignment vertical="center"/>
    </xf>
    <xf numFmtId="178" fontId="7" fillId="5" borderId="0" xfId="2" applyNumberFormat="1" applyFont="1" applyFill="1" applyAlignment="1">
      <alignment vertical="center"/>
    </xf>
    <xf numFmtId="0" fontId="18" fillId="5" borderId="8" xfId="0" applyFont="1" applyFill="1" applyBorder="1">
      <alignment vertical="center"/>
    </xf>
    <xf numFmtId="0" fontId="18" fillId="5" borderId="5" xfId="0" applyFont="1" applyFill="1" applyBorder="1">
      <alignment vertical="center"/>
    </xf>
    <xf numFmtId="183" fontId="32" fillId="5" borderId="0" xfId="0" applyNumberFormat="1" applyFont="1" applyFill="1" applyAlignment="1">
      <alignment horizontal="center" vertical="center"/>
    </xf>
    <xf numFmtId="184" fontId="32" fillId="5" borderId="0" xfId="0" applyNumberFormat="1" applyFont="1" applyFill="1" applyAlignment="1">
      <alignment horizontal="center" vertical="center"/>
    </xf>
    <xf numFmtId="9" fontId="32" fillId="5" borderId="0" xfId="2" applyFont="1" applyFill="1" applyBorder="1" applyAlignment="1">
      <alignment horizontal="center" vertical="center"/>
    </xf>
    <xf numFmtId="0" fontId="18" fillId="5" borderId="22" xfId="0" applyFont="1" applyFill="1" applyBorder="1">
      <alignment vertical="center"/>
    </xf>
    <xf numFmtId="0" fontId="29" fillId="5" borderId="5" xfId="0" applyFont="1" applyFill="1" applyBorder="1">
      <alignment vertical="center"/>
    </xf>
    <xf numFmtId="0" fontId="25" fillId="5" borderId="5" xfId="0" applyFont="1" applyFill="1" applyBorder="1">
      <alignment vertical="center"/>
    </xf>
    <xf numFmtId="0" fontId="18" fillId="5" borderId="13" xfId="0" applyFont="1" applyFill="1" applyBorder="1">
      <alignment vertical="center"/>
    </xf>
    <xf numFmtId="0" fontId="36" fillId="5" borderId="0" xfId="0" applyFont="1" applyFill="1">
      <alignment vertical="center"/>
    </xf>
    <xf numFmtId="0" fontId="23" fillId="5" borderId="0" xfId="0" applyFont="1" applyFill="1">
      <alignment vertical="center"/>
    </xf>
    <xf numFmtId="178" fontId="10" fillId="5" borderId="0" xfId="2" applyNumberFormat="1" applyFont="1" applyFill="1" applyBorder="1" applyAlignment="1">
      <alignment vertical="center"/>
    </xf>
    <xf numFmtId="0" fontId="10" fillId="5" borderId="26" xfId="0" applyFont="1" applyFill="1" applyBorder="1">
      <alignment vertical="center"/>
    </xf>
    <xf numFmtId="0" fontId="10" fillId="5" borderId="23" xfId="0" applyFont="1" applyFill="1" applyBorder="1">
      <alignment vertical="center"/>
    </xf>
    <xf numFmtId="0" fontId="10" fillId="5" borderId="24" xfId="0" applyFont="1" applyFill="1" applyBorder="1" applyAlignment="1">
      <alignment horizontal="left" vertical="center"/>
    </xf>
    <xf numFmtId="0" fontId="10" fillId="5" borderId="24" xfId="0" applyFont="1" applyFill="1" applyBorder="1">
      <alignment vertical="center"/>
    </xf>
    <xf numFmtId="0" fontId="24" fillId="5" borderId="29" xfId="0" applyFont="1" applyFill="1" applyBorder="1">
      <alignment vertical="center"/>
    </xf>
    <xf numFmtId="0" fontId="18" fillId="5" borderId="26" xfId="0" applyFont="1" applyFill="1" applyBorder="1">
      <alignment vertical="center"/>
    </xf>
    <xf numFmtId="2" fontId="10" fillId="5" borderId="0" xfId="0" applyNumberFormat="1" applyFont="1" applyFill="1">
      <alignment vertical="center"/>
    </xf>
    <xf numFmtId="178" fontId="4" fillId="0" borderId="17" xfId="2" applyNumberFormat="1" applyFont="1" applyBorder="1">
      <alignment vertical="center"/>
    </xf>
    <xf numFmtId="178" fontId="4" fillId="0" borderId="18" xfId="2" applyNumberFormat="1" applyFont="1" applyBorder="1">
      <alignment vertical="center"/>
    </xf>
    <xf numFmtId="178" fontId="4" fillId="0" borderId="20" xfId="2" applyNumberFormat="1" applyFont="1" applyBorder="1">
      <alignment vertical="center"/>
    </xf>
    <xf numFmtId="0" fontId="4" fillId="0" borderId="0" xfId="0" applyFont="1">
      <alignment vertical="center"/>
    </xf>
    <xf numFmtId="178" fontId="4" fillId="0" borderId="42" xfId="2" applyNumberFormat="1" applyFont="1" applyBorder="1">
      <alignment vertical="center"/>
    </xf>
    <xf numFmtId="0" fontId="0" fillId="0" borderId="1" xfId="0" applyBorder="1">
      <alignment vertical="center"/>
    </xf>
    <xf numFmtId="38" fontId="34" fillId="5" borderId="2" xfId="1" applyFont="1" applyFill="1" applyBorder="1">
      <alignment vertical="center"/>
    </xf>
    <xf numFmtId="38" fontId="3" fillId="0" borderId="17" xfId="1" applyFont="1" applyBorder="1">
      <alignment vertical="center"/>
    </xf>
    <xf numFmtId="38" fontId="3" fillId="0" borderId="18" xfId="1" applyFont="1" applyBorder="1">
      <alignment vertical="center"/>
    </xf>
    <xf numFmtId="38" fontId="3" fillId="0" borderId="19" xfId="1" applyFont="1" applyBorder="1">
      <alignment vertical="center"/>
    </xf>
    <xf numFmtId="38" fontId="4" fillId="0" borderId="17" xfId="1" applyFont="1" applyBorder="1">
      <alignment vertical="center"/>
    </xf>
    <xf numFmtId="38" fontId="4" fillId="0" borderId="18" xfId="1" applyFont="1" applyBorder="1">
      <alignment vertical="center"/>
    </xf>
    <xf numFmtId="38" fontId="4" fillId="0" borderId="19" xfId="1" applyFont="1" applyBorder="1">
      <alignment vertical="center"/>
    </xf>
    <xf numFmtId="38" fontId="4" fillId="0" borderId="20" xfId="1" applyFont="1" applyBorder="1">
      <alignment vertical="center"/>
    </xf>
    <xf numFmtId="38" fontId="4" fillId="0" borderId="14" xfId="1" applyFont="1" applyBorder="1">
      <alignment vertical="center"/>
    </xf>
    <xf numFmtId="176" fontId="0" fillId="5" borderId="4" xfId="0" applyNumberFormat="1" applyFill="1" applyBorder="1">
      <alignment vertical="center"/>
    </xf>
    <xf numFmtId="0" fontId="7" fillId="5" borderId="0" xfId="0" applyFont="1" applyFill="1" applyAlignment="1">
      <alignment horizontal="right" vertical="center"/>
    </xf>
    <xf numFmtId="0" fontId="37" fillId="5" borderId="0" xfId="0" applyFont="1" applyFill="1">
      <alignment vertical="center"/>
    </xf>
    <xf numFmtId="177" fontId="10" fillId="5" borderId="0" xfId="0" applyNumberFormat="1" applyFont="1" applyFill="1">
      <alignment vertical="center"/>
    </xf>
    <xf numFmtId="0" fontId="7" fillId="0" borderId="0" xfId="0" applyFont="1" applyAlignment="1">
      <alignment horizontal="right" vertical="center"/>
    </xf>
    <xf numFmtId="0" fontId="7" fillId="0" borderId="23" xfId="0" applyFont="1" applyBorder="1">
      <alignment vertical="center"/>
    </xf>
    <xf numFmtId="0" fontId="10" fillId="5" borderId="0" xfId="0" applyFont="1" applyFill="1" applyAlignment="1">
      <alignment horizontal="right" vertical="center"/>
    </xf>
    <xf numFmtId="0" fontId="0" fillId="7" borderId="0" xfId="0" applyFill="1" applyAlignment="1">
      <alignment horizontal="center" vertical="center"/>
    </xf>
    <xf numFmtId="0" fontId="34" fillId="0" borderId="1" xfId="0" applyFont="1" applyBorder="1" applyAlignment="1">
      <alignment horizontal="center" vertical="center"/>
    </xf>
    <xf numFmtId="0" fontId="0" fillId="4" borderId="3" xfId="0" applyFill="1" applyBorder="1" applyAlignment="1">
      <alignment horizontal="left" vertical="center"/>
    </xf>
    <xf numFmtId="187" fontId="10" fillId="5" borderId="0" xfId="0" applyNumberFormat="1" applyFont="1" applyFill="1" applyAlignment="1">
      <alignment horizontal="center" vertical="center"/>
    </xf>
    <xf numFmtId="9" fontId="0" fillId="5" borderId="0" xfId="2" applyFont="1" applyFill="1" applyBorder="1">
      <alignment vertical="center"/>
    </xf>
    <xf numFmtId="187" fontId="38" fillId="5" borderId="0" xfId="0" applyNumberFormat="1" applyFont="1" applyFill="1" applyAlignment="1">
      <alignment horizontal="center" vertical="center"/>
    </xf>
    <xf numFmtId="187" fontId="7" fillId="5" borderId="0" xfId="0" applyNumberFormat="1" applyFont="1" applyFill="1">
      <alignment vertical="center"/>
    </xf>
    <xf numFmtId="187" fontId="7" fillId="5" borderId="0" xfId="0" applyNumberFormat="1" applyFont="1" applyFill="1" applyAlignment="1">
      <alignment horizontal="left" vertical="center"/>
    </xf>
    <xf numFmtId="177" fontId="0" fillId="5" borderId="0" xfId="0" applyNumberFormat="1" applyFill="1" applyAlignment="1">
      <alignment horizontal="center" vertical="center"/>
    </xf>
    <xf numFmtId="38" fontId="0" fillId="5" borderId="0" xfId="0" applyNumberFormat="1" applyFill="1" applyAlignment="1">
      <alignment horizontal="center" vertical="center"/>
    </xf>
    <xf numFmtId="180" fontId="0" fillId="5" borderId="0" xfId="1" applyNumberFormat="1" applyFont="1" applyFill="1" applyAlignment="1">
      <alignment horizontal="center" vertical="center"/>
    </xf>
    <xf numFmtId="0" fontId="39" fillId="5" borderId="0" xfId="0" applyFont="1" applyFill="1" applyAlignment="1">
      <alignment horizontal="center" vertical="center"/>
    </xf>
    <xf numFmtId="0" fontId="18" fillId="5" borderId="12" xfId="0" applyFont="1" applyFill="1" applyBorder="1">
      <alignment vertical="center"/>
    </xf>
    <xf numFmtId="0" fontId="18" fillId="5" borderId="9" xfId="0" applyFont="1" applyFill="1" applyBorder="1">
      <alignment vertical="center"/>
    </xf>
    <xf numFmtId="0" fontId="18" fillId="4" borderId="49" xfId="0" applyFont="1" applyFill="1" applyBorder="1">
      <alignment vertical="center"/>
    </xf>
    <xf numFmtId="0" fontId="18" fillId="4" borderId="50" xfId="0" applyFont="1" applyFill="1" applyBorder="1" applyAlignment="1">
      <alignment horizontal="center" vertical="center"/>
    </xf>
    <xf numFmtId="186" fontId="18" fillId="5" borderId="0" xfId="0" applyNumberFormat="1" applyFont="1" applyFill="1">
      <alignment vertical="center"/>
    </xf>
    <xf numFmtId="186" fontId="18" fillId="5" borderId="22" xfId="0" applyNumberFormat="1" applyFont="1" applyFill="1" applyBorder="1">
      <alignment vertical="center"/>
    </xf>
    <xf numFmtId="186" fontId="32" fillId="5" borderId="0" xfId="0" applyNumberFormat="1" applyFont="1" applyFill="1">
      <alignment vertical="center"/>
    </xf>
    <xf numFmtId="186" fontId="32" fillId="5" borderId="22" xfId="0" applyNumberFormat="1" applyFont="1" applyFill="1" applyBorder="1">
      <alignment vertical="center"/>
    </xf>
    <xf numFmtId="182" fontId="6" fillId="5" borderId="0" xfId="0" applyNumberFormat="1" applyFont="1" applyFill="1" applyAlignment="1">
      <alignment horizontal="center" vertical="center"/>
    </xf>
    <xf numFmtId="0" fontId="25" fillId="5" borderId="10" xfId="0" applyFont="1" applyFill="1" applyBorder="1">
      <alignment vertical="center"/>
    </xf>
    <xf numFmtId="0" fontId="29" fillId="5" borderId="13" xfId="0" applyFont="1" applyFill="1" applyBorder="1">
      <alignment vertical="center"/>
    </xf>
    <xf numFmtId="184" fontId="18" fillId="5" borderId="13" xfId="0" applyNumberFormat="1" applyFont="1" applyFill="1" applyBorder="1">
      <alignment vertical="center"/>
    </xf>
    <xf numFmtId="184" fontId="18" fillId="5" borderId="11" xfId="0" applyNumberFormat="1" applyFont="1" applyFill="1" applyBorder="1">
      <alignment vertical="center"/>
    </xf>
    <xf numFmtId="0" fontId="40" fillId="4" borderId="51" xfId="0" applyFont="1" applyFill="1" applyBorder="1">
      <alignment vertical="center"/>
    </xf>
    <xf numFmtId="182" fontId="40" fillId="5" borderId="1" xfId="0" applyNumberFormat="1" applyFont="1" applyFill="1" applyBorder="1" applyAlignment="1">
      <alignment horizontal="center" vertical="center"/>
    </xf>
    <xf numFmtId="182" fontId="40" fillId="5" borderId="52" xfId="0" applyNumberFormat="1" applyFont="1" applyFill="1" applyBorder="1" applyAlignment="1">
      <alignment horizontal="center" vertical="center"/>
    </xf>
    <xf numFmtId="0" fontId="40" fillId="4" borderId="53" xfId="0" applyFont="1" applyFill="1" applyBorder="1">
      <alignment vertical="center"/>
    </xf>
    <xf numFmtId="182" fontId="40" fillId="5" borderId="54" xfId="0" applyNumberFormat="1" applyFont="1" applyFill="1" applyBorder="1" applyAlignment="1">
      <alignment horizontal="center" vertical="center"/>
    </xf>
    <xf numFmtId="182" fontId="40" fillId="5" borderId="55" xfId="0" applyNumberFormat="1" applyFont="1" applyFill="1" applyBorder="1" applyAlignment="1">
      <alignment horizontal="center" vertical="center"/>
    </xf>
    <xf numFmtId="177" fontId="41" fillId="5" borderId="0" xfId="0" applyNumberFormat="1" applyFont="1" applyFill="1" applyAlignment="1">
      <alignment horizontal="center" vertical="center"/>
    </xf>
    <xf numFmtId="0" fontId="25" fillId="5" borderId="0" xfId="0" applyFont="1" applyFill="1">
      <alignment vertical="center"/>
    </xf>
    <xf numFmtId="182" fontId="6" fillId="5" borderId="12" xfId="0" applyNumberFormat="1" applyFont="1" applyFill="1" applyBorder="1" applyAlignment="1">
      <alignment horizontal="center" vertical="center"/>
    </xf>
    <xf numFmtId="183" fontId="42" fillId="5" borderId="13" xfId="0" applyNumberFormat="1" applyFont="1" applyFill="1" applyBorder="1" applyAlignment="1">
      <alignment horizontal="left" vertical="center"/>
    </xf>
    <xf numFmtId="38" fontId="0" fillId="5" borderId="1" xfId="0" applyNumberFormat="1" applyFill="1" applyBorder="1">
      <alignment vertical="center"/>
    </xf>
    <xf numFmtId="0" fontId="33" fillId="5" borderId="0" xfId="0" applyFont="1" applyFill="1">
      <alignment vertical="center"/>
    </xf>
    <xf numFmtId="177" fontId="41" fillId="8" borderId="62" xfId="0" applyNumberFormat="1" applyFont="1" applyFill="1" applyBorder="1" applyAlignment="1">
      <alignment horizontal="center" vertical="center"/>
    </xf>
    <xf numFmtId="177" fontId="41" fillId="8" borderId="64" xfId="0" applyNumberFormat="1" applyFont="1" applyFill="1" applyBorder="1" applyAlignment="1">
      <alignment horizontal="center" vertical="center"/>
    </xf>
    <xf numFmtId="0" fontId="18" fillId="8" borderId="59" xfId="0" applyFont="1" applyFill="1" applyBorder="1">
      <alignment vertical="center"/>
    </xf>
    <xf numFmtId="178" fontId="10" fillId="5" borderId="0" xfId="2" applyNumberFormat="1" applyFont="1" applyFill="1" applyAlignment="1">
      <alignment horizontal="left" vertical="center"/>
    </xf>
    <xf numFmtId="0" fontId="0" fillId="7" borderId="0" xfId="0" applyFill="1">
      <alignment vertical="center"/>
    </xf>
    <xf numFmtId="0" fontId="43" fillId="5" borderId="23" xfId="0" applyFont="1" applyFill="1" applyBorder="1">
      <alignment vertical="center"/>
    </xf>
    <xf numFmtId="0" fontId="20" fillId="5" borderId="0" xfId="0" applyFont="1" applyFill="1" applyAlignment="1">
      <alignment horizontal="center" vertical="center"/>
    </xf>
    <xf numFmtId="0" fontId="35" fillId="5" borderId="0" xfId="0" applyFont="1" applyFill="1" applyAlignment="1">
      <alignment horizontal="center" vertical="center"/>
    </xf>
    <xf numFmtId="0" fontId="9" fillId="5" borderId="0" xfId="0" applyFont="1" applyFill="1" applyAlignment="1">
      <alignment horizontal="left" vertical="center" wrapText="1"/>
    </xf>
    <xf numFmtId="0" fontId="19" fillId="5" borderId="0" xfId="0" applyFont="1" applyFill="1" applyAlignment="1">
      <alignment horizontal="distributed" vertical="center"/>
    </xf>
    <xf numFmtId="0" fontId="7" fillId="5" borderId="0" xfId="0" applyFont="1" applyFill="1" applyAlignment="1">
      <alignment horizontal="center" vertical="center"/>
    </xf>
    <xf numFmtId="177" fontId="10" fillId="5" borderId="0" xfId="0" applyNumberFormat="1" applyFont="1" applyFill="1" applyAlignment="1">
      <alignment horizontal="center" vertical="center"/>
    </xf>
    <xf numFmtId="38" fontId="10" fillId="5" borderId="0" xfId="1" applyFont="1" applyFill="1" applyBorder="1" applyAlignment="1">
      <alignment horizontal="center" vertical="center"/>
    </xf>
    <xf numFmtId="187" fontId="10" fillId="5" borderId="0" xfId="0" applyNumberFormat="1" applyFont="1" applyFill="1" applyAlignment="1">
      <alignment horizontal="center" vertical="center"/>
    </xf>
    <xf numFmtId="0" fontId="10" fillId="5" borderId="0" xfId="0" applyFont="1" applyFill="1" applyAlignment="1">
      <alignment horizontal="center" vertical="center"/>
    </xf>
    <xf numFmtId="0" fontId="7" fillId="5" borderId="0" xfId="0" applyFont="1" applyFill="1" applyAlignment="1">
      <alignment horizontal="left" vertical="center"/>
    </xf>
    <xf numFmtId="0" fontId="23" fillId="5" borderId="0" xfId="0" applyFont="1" applyFill="1" applyAlignment="1">
      <alignment horizontal="center" vertical="center"/>
    </xf>
    <xf numFmtId="9" fontId="10" fillId="5" borderId="0" xfId="2" applyFont="1" applyFill="1" applyBorder="1" applyAlignment="1">
      <alignment horizontal="center" vertical="center"/>
    </xf>
    <xf numFmtId="179" fontId="10" fillId="5" borderId="0" xfId="1" applyNumberFormat="1" applyFont="1" applyFill="1" applyBorder="1" applyAlignment="1">
      <alignment horizontal="center" vertical="center"/>
    </xf>
    <xf numFmtId="38" fontId="10" fillId="5" borderId="0" xfId="0" applyNumberFormat="1" applyFont="1" applyFill="1" applyAlignment="1">
      <alignment horizontal="center" vertical="center"/>
    </xf>
    <xf numFmtId="177" fontId="37" fillId="5" borderId="0" xfId="0" applyNumberFormat="1" applyFont="1" applyFill="1">
      <alignment vertical="center"/>
    </xf>
    <xf numFmtId="9" fontId="10" fillId="5" borderId="0" xfId="0" applyNumberFormat="1" applyFont="1" applyFill="1" applyAlignment="1">
      <alignment horizontal="center" vertical="center"/>
    </xf>
    <xf numFmtId="0" fontId="7" fillId="5" borderId="0" xfId="0" applyFont="1" applyFill="1" applyAlignment="1">
      <alignment horizontal="right" vertical="center"/>
    </xf>
    <xf numFmtId="187" fontId="38" fillId="5" borderId="0" xfId="0" applyNumberFormat="1" applyFont="1" applyFill="1" applyAlignment="1">
      <alignment horizontal="center" vertical="center"/>
    </xf>
    <xf numFmtId="177" fontId="32" fillId="5" borderId="12" xfId="0" applyNumberFormat="1" applyFont="1" applyFill="1" applyBorder="1" applyAlignment="1">
      <alignment horizontal="center" vertical="center"/>
    </xf>
    <xf numFmtId="177" fontId="32" fillId="5" borderId="13" xfId="0" applyNumberFormat="1" applyFont="1" applyFill="1" applyBorder="1" applyAlignment="1">
      <alignment horizontal="center" vertical="center"/>
    </xf>
    <xf numFmtId="9" fontId="32" fillId="8" borderId="60" xfId="2" applyFont="1" applyFill="1" applyBorder="1" applyAlignment="1">
      <alignment horizontal="center" vertical="center"/>
    </xf>
    <xf numFmtId="9" fontId="32" fillId="8" borderId="61" xfId="2" applyFont="1" applyFill="1" applyBorder="1" applyAlignment="1">
      <alignment horizontal="center" vertical="center"/>
    </xf>
    <xf numFmtId="188" fontId="32" fillId="5" borderId="1" xfId="0" applyNumberFormat="1" applyFont="1" applyFill="1" applyBorder="1" applyAlignment="1">
      <alignment horizontal="center" vertical="center"/>
    </xf>
    <xf numFmtId="188" fontId="32" fillId="5" borderId="63" xfId="0" applyNumberFormat="1" applyFont="1" applyFill="1" applyBorder="1" applyAlignment="1">
      <alignment horizontal="center" vertical="center"/>
    </xf>
    <xf numFmtId="188" fontId="32" fillId="5" borderId="65" xfId="0" applyNumberFormat="1" applyFont="1" applyFill="1" applyBorder="1" applyAlignment="1">
      <alignment horizontal="center" vertical="center"/>
    </xf>
    <xf numFmtId="188" fontId="32" fillId="5" borderId="66" xfId="0" applyNumberFormat="1" applyFont="1" applyFill="1" applyBorder="1" applyAlignment="1">
      <alignment horizontal="center" vertical="center"/>
    </xf>
    <xf numFmtId="0" fontId="18" fillId="4" borderId="56" xfId="0" applyFont="1" applyFill="1" applyBorder="1" applyAlignment="1">
      <alignment horizontal="center" vertical="center"/>
    </xf>
    <xf numFmtId="0" fontId="18" fillId="4" borderId="57" xfId="0" applyFont="1" applyFill="1" applyBorder="1" applyAlignment="1">
      <alignment horizontal="center" vertical="center"/>
    </xf>
    <xf numFmtId="0" fontId="18" fillId="4" borderId="58" xfId="0" applyFont="1" applyFill="1" applyBorder="1" applyAlignment="1">
      <alignment horizontal="center" vertical="center"/>
    </xf>
    <xf numFmtId="0" fontId="44" fillId="5" borderId="0" xfId="0" applyFont="1" applyFill="1" applyAlignment="1">
      <alignment horizontal="center" vertical="center" wrapText="1"/>
    </xf>
    <xf numFmtId="0" fontId="18" fillId="4" borderId="31" xfId="0" applyFont="1" applyFill="1" applyBorder="1" applyAlignment="1">
      <alignment horizontal="center" vertical="center"/>
    </xf>
    <xf numFmtId="0" fontId="18" fillId="4" borderId="32" xfId="0" applyFont="1" applyFill="1" applyBorder="1" applyAlignment="1">
      <alignment horizontal="center" vertical="center"/>
    </xf>
    <xf numFmtId="0" fontId="18" fillId="4" borderId="33" xfId="0" applyFont="1" applyFill="1" applyBorder="1" applyAlignment="1">
      <alignment horizontal="center" vertical="center"/>
    </xf>
    <xf numFmtId="0" fontId="18" fillId="10" borderId="1" xfId="0" applyFont="1" applyFill="1" applyBorder="1" applyAlignment="1">
      <alignment horizontal="center" vertical="center"/>
    </xf>
    <xf numFmtId="0" fontId="27" fillId="5" borderId="5" xfId="0" applyFont="1" applyFill="1" applyBorder="1" applyAlignment="1">
      <alignment horizontal="left" vertical="center" wrapText="1"/>
    </xf>
    <xf numFmtId="0" fontId="27" fillId="5" borderId="41" xfId="0" applyFont="1" applyFill="1" applyBorder="1" applyAlignment="1">
      <alignment horizontal="left" vertical="center" wrapText="1"/>
    </xf>
    <xf numFmtId="178" fontId="10" fillId="5" borderId="0" xfId="2" applyNumberFormat="1" applyFont="1" applyFill="1" applyAlignment="1">
      <alignment horizontal="center" vertical="center"/>
    </xf>
    <xf numFmtId="0" fontId="18" fillId="5" borderId="0" xfId="0" applyFont="1" applyFill="1" applyAlignment="1">
      <alignment horizontal="right" vertical="center"/>
    </xf>
    <xf numFmtId="38" fontId="10" fillId="5" borderId="0" xfId="1" applyFont="1" applyFill="1" applyAlignment="1">
      <alignment horizontal="center" vertical="center"/>
    </xf>
    <xf numFmtId="0" fontId="38" fillId="5" borderId="0" xfId="0" applyFont="1" applyFill="1" applyAlignment="1">
      <alignment horizontal="center" vertical="center"/>
    </xf>
    <xf numFmtId="0" fontId="3" fillId="11" borderId="1" xfId="0" applyFont="1" applyFill="1" applyBorder="1" applyAlignment="1">
      <alignment horizontal="center" vertical="center" wrapText="1"/>
    </xf>
    <xf numFmtId="184" fontId="28" fillId="11" borderId="8" xfId="0" applyNumberFormat="1" applyFont="1" applyFill="1" applyBorder="1" applyAlignment="1">
      <alignment horizontal="center" vertical="center" wrapText="1"/>
    </xf>
    <xf numFmtId="184" fontId="28" fillId="11" borderId="9" xfId="0" applyNumberFormat="1" applyFont="1" applyFill="1" applyBorder="1" applyAlignment="1">
      <alignment horizontal="center" vertical="center" wrapText="1"/>
    </xf>
    <xf numFmtId="184" fontId="28" fillId="11" borderId="10" xfId="0" applyNumberFormat="1" applyFont="1" applyFill="1" applyBorder="1" applyAlignment="1">
      <alignment horizontal="center" vertical="center" wrapText="1"/>
    </xf>
    <xf numFmtId="184" fontId="28" fillId="11" borderId="11" xfId="0" applyNumberFormat="1" applyFont="1" applyFill="1" applyBorder="1" applyAlignment="1">
      <alignment horizontal="center" vertical="center" wrapText="1"/>
    </xf>
    <xf numFmtId="0" fontId="0" fillId="5" borderId="0" xfId="0" applyFill="1" applyAlignment="1">
      <alignment horizontal="left" vertical="center" wrapText="1"/>
    </xf>
    <xf numFmtId="0" fontId="0" fillId="5" borderId="22" xfId="0" applyFill="1" applyBorder="1" applyAlignment="1">
      <alignment horizontal="left" vertical="center" wrapText="1"/>
    </xf>
    <xf numFmtId="0" fontId="3" fillId="11" borderId="1" xfId="0" applyFont="1" applyFill="1" applyBorder="1" applyAlignment="1">
      <alignment horizontal="center" vertical="center"/>
    </xf>
    <xf numFmtId="0" fontId="3" fillId="11" borderId="6" xfId="0" applyFont="1" applyFill="1" applyBorder="1" applyAlignment="1">
      <alignment horizontal="center" vertical="center" wrapText="1"/>
    </xf>
    <xf numFmtId="0" fontId="3" fillId="11" borderId="7" xfId="0" applyFont="1" applyFill="1" applyBorder="1" applyAlignment="1">
      <alignment horizontal="center" vertical="center" wrapText="1"/>
    </xf>
    <xf numFmtId="0" fontId="3" fillId="3" borderId="1" xfId="0" applyFont="1" applyFill="1" applyBorder="1" applyAlignment="1">
      <alignment horizontal="center" vertical="center"/>
    </xf>
    <xf numFmtId="0" fontId="3" fillId="3" borderId="1" xfId="0" applyFont="1" applyFill="1" applyBorder="1" applyAlignment="1">
      <alignment horizontal="center" vertical="center" wrapText="1"/>
    </xf>
    <xf numFmtId="0" fontId="14" fillId="2" borderId="1" xfId="0" applyFont="1" applyFill="1" applyBorder="1" applyAlignment="1">
      <alignment horizontal="center" vertical="center" wrapText="1"/>
    </xf>
    <xf numFmtId="0" fontId="0" fillId="2" borderId="1" xfId="0" applyFill="1" applyBorder="1" applyAlignment="1">
      <alignment horizontal="center" vertical="center"/>
    </xf>
    <xf numFmtId="0" fontId="3" fillId="3" borderId="6" xfId="0" applyFont="1" applyFill="1" applyBorder="1" applyAlignment="1">
      <alignment horizontal="center" vertical="center" wrapText="1"/>
    </xf>
    <xf numFmtId="0" fontId="3" fillId="3" borderId="7" xfId="0" applyFont="1" applyFill="1" applyBorder="1" applyAlignment="1">
      <alignment horizontal="center" vertical="center" wrapText="1"/>
    </xf>
    <xf numFmtId="0" fontId="3" fillId="6" borderId="1" xfId="0" applyFont="1" applyFill="1" applyBorder="1" applyAlignment="1">
      <alignment horizontal="center" vertical="center"/>
    </xf>
    <xf numFmtId="0" fontId="3" fillId="6" borderId="1" xfId="0" applyFont="1" applyFill="1" applyBorder="1" applyAlignment="1">
      <alignment horizontal="center" vertical="center" wrapText="1"/>
    </xf>
    <xf numFmtId="0" fontId="3" fillId="7" borderId="1" xfId="0" applyFont="1" applyFill="1" applyBorder="1" applyAlignment="1">
      <alignment horizontal="center" vertical="center"/>
    </xf>
    <xf numFmtId="0" fontId="3" fillId="6" borderId="6" xfId="0" applyFont="1" applyFill="1" applyBorder="1" applyAlignment="1">
      <alignment horizontal="center" vertical="center" wrapText="1"/>
    </xf>
    <xf numFmtId="0" fontId="3" fillId="6" borderId="7" xfId="0" applyFont="1" applyFill="1" applyBorder="1" applyAlignment="1">
      <alignment horizontal="center" vertical="center" wrapText="1"/>
    </xf>
    <xf numFmtId="0" fontId="3" fillId="7" borderId="1" xfId="0" applyFont="1" applyFill="1" applyBorder="1" applyAlignment="1">
      <alignment horizontal="center" vertical="center" wrapText="1"/>
    </xf>
    <xf numFmtId="0" fontId="3" fillId="7" borderId="6" xfId="0" applyFont="1" applyFill="1" applyBorder="1" applyAlignment="1">
      <alignment horizontal="center" vertical="center" wrapText="1"/>
    </xf>
    <xf numFmtId="0" fontId="3" fillId="7" borderId="7" xfId="0" applyFont="1" applyFill="1" applyBorder="1" applyAlignment="1">
      <alignment horizontal="center" vertical="center" wrapText="1"/>
    </xf>
    <xf numFmtId="182" fontId="28" fillId="10" borderId="8" xfId="0" applyNumberFormat="1" applyFont="1" applyFill="1" applyBorder="1" applyAlignment="1">
      <alignment horizontal="center" vertical="center" wrapText="1"/>
    </xf>
    <xf numFmtId="182" fontId="28" fillId="10" borderId="9" xfId="0" applyNumberFormat="1" applyFont="1" applyFill="1" applyBorder="1" applyAlignment="1">
      <alignment horizontal="center" vertical="center" wrapText="1"/>
    </xf>
    <xf numFmtId="182" fontId="28" fillId="10" borderId="10" xfId="0" applyNumberFormat="1" applyFont="1" applyFill="1" applyBorder="1" applyAlignment="1">
      <alignment horizontal="center" vertical="center" wrapText="1"/>
    </xf>
    <xf numFmtId="182" fontId="28" fillId="10" borderId="11" xfId="0" applyNumberFormat="1" applyFont="1" applyFill="1" applyBorder="1" applyAlignment="1">
      <alignment horizontal="center" vertical="center" wrapText="1"/>
    </xf>
    <xf numFmtId="0" fontId="3" fillId="10" borderId="1" xfId="0" applyFont="1" applyFill="1" applyBorder="1" applyAlignment="1">
      <alignment horizontal="center" vertical="center"/>
    </xf>
    <xf numFmtId="0" fontId="3" fillId="10" borderId="1" xfId="0" applyFont="1" applyFill="1" applyBorder="1" applyAlignment="1">
      <alignment horizontal="center" vertical="center" wrapText="1"/>
    </xf>
    <xf numFmtId="0" fontId="3" fillId="10" borderId="6" xfId="0" applyFont="1" applyFill="1" applyBorder="1" applyAlignment="1">
      <alignment horizontal="center" vertical="center" wrapText="1"/>
    </xf>
    <xf numFmtId="0" fontId="3" fillId="10" borderId="7" xfId="0" applyFont="1" applyFill="1" applyBorder="1" applyAlignment="1">
      <alignment horizontal="center" vertical="center" wrapText="1"/>
    </xf>
    <xf numFmtId="177" fontId="0" fillId="5" borderId="14" xfId="0" applyNumberFormat="1" applyFill="1" applyBorder="1" applyAlignment="1">
      <alignment horizontal="center" vertical="center"/>
    </xf>
    <xf numFmtId="177" fontId="0" fillId="5" borderId="16" xfId="0" applyNumberFormat="1" applyFill="1" applyBorder="1" applyAlignment="1">
      <alignment horizontal="center" vertical="center"/>
    </xf>
    <xf numFmtId="0" fontId="0" fillId="4" borderId="14" xfId="0" applyFill="1" applyBorder="1" applyAlignment="1">
      <alignment horizontal="center" vertical="center"/>
    </xf>
    <xf numFmtId="0" fontId="0" fillId="4" borderId="15" xfId="0" applyFill="1" applyBorder="1" applyAlignment="1">
      <alignment horizontal="center" vertical="center"/>
    </xf>
    <xf numFmtId="0" fontId="0" fillId="4" borderId="16" xfId="0" applyFill="1" applyBorder="1" applyAlignment="1">
      <alignment horizontal="center" vertical="center"/>
    </xf>
    <xf numFmtId="0" fontId="0" fillId="9" borderId="14" xfId="0" applyFill="1" applyBorder="1" applyAlignment="1">
      <alignment horizontal="center" vertical="center"/>
    </xf>
    <xf numFmtId="0" fontId="0" fillId="9" borderId="15" xfId="0" applyFill="1" applyBorder="1" applyAlignment="1">
      <alignment horizontal="center" vertical="center"/>
    </xf>
    <xf numFmtId="0" fontId="0" fillId="9" borderId="16" xfId="0" applyFill="1" applyBorder="1" applyAlignment="1">
      <alignment horizontal="center" vertical="center"/>
    </xf>
    <xf numFmtId="0" fontId="0" fillId="0" borderId="1" xfId="0" applyBorder="1" applyAlignment="1">
      <alignment horizontal="center" vertical="center" wrapText="1"/>
    </xf>
    <xf numFmtId="0" fontId="0" fillId="0" borderId="6" xfId="0" applyBorder="1" applyAlignment="1">
      <alignment horizontal="center" vertical="center" wrapText="1"/>
    </xf>
    <xf numFmtId="0" fontId="0" fillId="0" borderId="43" xfId="0" applyBorder="1" applyAlignment="1">
      <alignment horizontal="center" vertical="center" wrapText="1"/>
    </xf>
    <xf numFmtId="0" fontId="0" fillId="0" borderId="1" xfId="0" applyBorder="1" applyAlignment="1">
      <alignment horizontal="center" vertical="center"/>
    </xf>
    <xf numFmtId="0" fontId="0" fillId="0" borderId="6" xfId="0" applyBorder="1" applyAlignment="1">
      <alignment horizontal="center" vertical="center"/>
    </xf>
    <xf numFmtId="0" fontId="0" fillId="3" borderId="1" xfId="0" applyFill="1" applyBorder="1" applyAlignment="1">
      <alignment horizontal="center" vertical="center"/>
    </xf>
    <xf numFmtId="0" fontId="0" fillId="8" borderId="14" xfId="0" applyFill="1" applyBorder="1" applyAlignment="1">
      <alignment horizontal="center" vertical="center"/>
    </xf>
    <xf numFmtId="0" fontId="0" fillId="8" borderId="15" xfId="0" applyFill="1" applyBorder="1" applyAlignment="1">
      <alignment horizontal="center" vertical="center"/>
    </xf>
    <xf numFmtId="0" fontId="0" fillId="8" borderId="16" xfId="0" applyFill="1" applyBorder="1" applyAlignment="1">
      <alignment horizontal="center" vertical="center"/>
    </xf>
  </cellXfs>
  <cellStyles count="3">
    <cellStyle name="パーセント" xfId="2" builtinId="5"/>
    <cellStyle name="桁区切り" xfId="1" builtinId="6"/>
    <cellStyle name="標準" xfId="0" builtinId="0"/>
  </cellStyles>
  <dxfs count="0"/>
  <tableStyles count="0" defaultTableStyle="TableStyleMedium2" defaultPivotStyle="PivotStyleLight16"/>
  <colors>
    <mruColors>
      <color rgb="FFFF66FF"/>
      <color rgb="FFFFCCFF"/>
      <color rgb="FF99FF99"/>
      <color rgb="FFFF99FF"/>
      <color rgb="FF00CCFF"/>
      <color rgb="FFCCECFF"/>
      <color rgb="FF00FFFF"/>
      <color rgb="FFFF00FF"/>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3.xml"/><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3" Type="http://schemas.openxmlformats.org/officeDocument/2006/relationships/chartUserShapes" Target="../drawings/drawing10.xml"/><Relationship Id="rId2" Type="http://schemas.microsoft.com/office/2011/relationships/chartColorStyle" Target="colors10.xml"/><Relationship Id="rId1" Type="http://schemas.microsoft.com/office/2011/relationships/chartStyle" Target="style10.xml"/></Relationships>
</file>

<file path=xl/charts/_rels/chart11.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12.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13.xml.rels><?xml version="1.0" encoding="UTF-8" standalone="yes"?>
<Relationships xmlns="http://schemas.openxmlformats.org/package/2006/relationships"><Relationship Id="rId3" Type="http://schemas.openxmlformats.org/officeDocument/2006/relationships/chartUserShapes" Target="../drawings/drawing11.xml"/><Relationship Id="rId2" Type="http://schemas.microsoft.com/office/2011/relationships/chartColorStyle" Target="colors13.xml"/><Relationship Id="rId1" Type="http://schemas.microsoft.com/office/2011/relationships/chartStyle" Target="style13.xml"/></Relationships>
</file>

<file path=xl/charts/_rels/chart14.xml.rels><?xml version="1.0" encoding="UTF-8" standalone="yes"?>
<Relationships xmlns="http://schemas.openxmlformats.org/package/2006/relationships"><Relationship Id="rId3" Type="http://schemas.openxmlformats.org/officeDocument/2006/relationships/chartUserShapes" Target="../drawings/drawing12.xml"/><Relationship Id="rId2" Type="http://schemas.microsoft.com/office/2011/relationships/chartColorStyle" Target="colors14.xml"/><Relationship Id="rId1" Type="http://schemas.microsoft.com/office/2011/relationships/chartStyle" Target="style14.xml"/></Relationships>
</file>

<file path=xl/charts/_rels/chart15.xml.rels><?xml version="1.0" encoding="UTF-8" standalone="yes"?>
<Relationships xmlns="http://schemas.openxmlformats.org/package/2006/relationships"><Relationship Id="rId2" Type="http://schemas.microsoft.com/office/2011/relationships/chartColorStyle" Target="colors15.xml"/><Relationship Id="rId1" Type="http://schemas.microsoft.com/office/2011/relationships/chartStyle" Target="style15.xml"/></Relationships>
</file>

<file path=xl/charts/_rels/chart16.xml.rels><?xml version="1.0" encoding="UTF-8" standalone="yes"?>
<Relationships xmlns="http://schemas.openxmlformats.org/package/2006/relationships"><Relationship Id="rId2" Type="http://schemas.microsoft.com/office/2011/relationships/chartColorStyle" Target="colors16.xml"/><Relationship Id="rId1" Type="http://schemas.microsoft.com/office/2011/relationships/chartStyle" Target="style16.xml"/></Relationships>
</file>

<file path=xl/charts/_rels/chart17.xml.rels><?xml version="1.0" encoding="UTF-8" standalone="yes"?>
<Relationships xmlns="http://schemas.openxmlformats.org/package/2006/relationships"><Relationship Id="rId2" Type="http://schemas.microsoft.com/office/2011/relationships/chartColorStyle" Target="colors17.xml"/><Relationship Id="rId1" Type="http://schemas.microsoft.com/office/2011/relationships/chartStyle" Target="style17.xml"/></Relationships>
</file>

<file path=xl/charts/_rels/chart18.xml.rels><?xml version="1.0" encoding="UTF-8" standalone="yes"?>
<Relationships xmlns="http://schemas.openxmlformats.org/package/2006/relationships"><Relationship Id="rId2" Type="http://schemas.microsoft.com/office/2011/relationships/chartColorStyle" Target="colors18.xml"/><Relationship Id="rId1" Type="http://schemas.microsoft.com/office/2011/relationships/chartStyle" Target="style18.xml"/></Relationships>
</file>

<file path=xl/charts/_rels/chart19.xml.rels><?xml version="1.0" encoding="UTF-8" standalone="yes"?>
<Relationships xmlns="http://schemas.openxmlformats.org/package/2006/relationships"><Relationship Id="rId2" Type="http://schemas.microsoft.com/office/2011/relationships/chartColorStyle" Target="colors19.xml"/><Relationship Id="rId1" Type="http://schemas.microsoft.com/office/2011/relationships/chartStyle" Target="style19.xml"/></Relationships>
</file>

<file path=xl/charts/_rels/chart2.xml.rels><?xml version="1.0" encoding="UTF-8" standalone="yes"?>
<Relationships xmlns="http://schemas.openxmlformats.org/package/2006/relationships"><Relationship Id="rId3" Type="http://schemas.openxmlformats.org/officeDocument/2006/relationships/chartUserShapes" Target="../drawings/drawing4.xml"/><Relationship Id="rId2" Type="http://schemas.microsoft.com/office/2011/relationships/chartColorStyle" Target="colors2.xml"/><Relationship Id="rId1" Type="http://schemas.microsoft.com/office/2011/relationships/chartStyle" Target="style2.xml"/></Relationships>
</file>

<file path=xl/charts/_rels/chart20.xml.rels><?xml version="1.0" encoding="UTF-8" standalone="yes"?>
<Relationships xmlns="http://schemas.openxmlformats.org/package/2006/relationships"><Relationship Id="rId3" Type="http://schemas.openxmlformats.org/officeDocument/2006/relationships/chartUserShapes" Target="../drawings/drawing14.xml"/><Relationship Id="rId2" Type="http://schemas.microsoft.com/office/2011/relationships/chartColorStyle" Target="colors20.xml"/><Relationship Id="rId1" Type="http://schemas.microsoft.com/office/2011/relationships/chartStyle" Target="style20.xml"/></Relationships>
</file>

<file path=xl/charts/_rels/chart21.xml.rels><?xml version="1.0" encoding="UTF-8" standalone="yes"?>
<Relationships xmlns="http://schemas.openxmlformats.org/package/2006/relationships"><Relationship Id="rId3" Type="http://schemas.openxmlformats.org/officeDocument/2006/relationships/chartUserShapes" Target="../drawings/drawing15.xml"/><Relationship Id="rId2" Type="http://schemas.microsoft.com/office/2011/relationships/chartColorStyle" Target="colors21.xml"/><Relationship Id="rId1" Type="http://schemas.microsoft.com/office/2011/relationships/chartStyle" Target="style21.xml"/></Relationships>
</file>

<file path=xl/charts/_rels/chart22.xml.rels><?xml version="1.0" encoding="UTF-8" standalone="yes"?>
<Relationships xmlns="http://schemas.openxmlformats.org/package/2006/relationships"><Relationship Id="rId3" Type="http://schemas.openxmlformats.org/officeDocument/2006/relationships/chartUserShapes" Target="../drawings/drawing16.xml"/><Relationship Id="rId2" Type="http://schemas.microsoft.com/office/2011/relationships/chartColorStyle" Target="colors22.xml"/><Relationship Id="rId1" Type="http://schemas.microsoft.com/office/2011/relationships/chartStyle" Target="style22.xml"/></Relationships>
</file>

<file path=xl/charts/_rels/chart23.xml.rels><?xml version="1.0" encoding="UTF-8" standalone="yes"?>
<Relationships xmlns="http://schemas.openxmlformats.org/package/2006/relationships"><Relationship Id="rId3" Type="http://schemas.openxmlformats.org/officeDocument/2006/relationships/chartUserShapes" Target="../drawings/drawing17.xml"/><Relationship Id="rId2" Type="http://schemas.microsoft.com/office/2011/relationships/chartColorStyle" Target="colors23.xml"/><Relationship Id="rId1" Type="http://schemas.microsoft.com/office/2011/relationships/chartStyle" Target="style23.xml"/></Relationships>
</file>

<file path=xl/charts/_rels/chart24.xml.rels><?xml version="1.0" encoding="UTF-8" standalone="yes"?>
<Relationships xmlns="http://schemas.openxmlformats.org/package/2006/relationships"><Relationship Id="rId2" Type="http://schemas.microsoft.com/office/2011/relationships/chartColorStyle" Target="colors24.xml"/><Relationship Id="rId1" Type="http://schemas.microsoft.com/office/2011/relationships/chartStyle" Target="style24.xml"/></Relationships>
</file>

<file path=xl/charts/_rels/chart25.xml.rels><?xml version="1.0" encoding="UTF-8" standalone="yes"?>
<Relationships xmlns="http://schemas.openxmlformats.org/package/2006/relationships"><Relationship Id="rId2" Type="http://schemas.microsoft.com/office/2011/relationships/chartColorStyle" Target="colors25.xml"/><Relationship Id="rId1" Type="http://schemas.microsoft.com/office/2011/relationships/chartStyle" Target="style25.xml"/></Relationships>
</file>

<file path=xl/charts/_rels/chart26.xml.rels><?xml version="1.0" encoding="UTF-8" standalone="yes"?>
<Relationships xmlns="http://schemas.openxmlformats.org/package/2006/relationships"><Relationship Id="rId2" Type="http://schemas.microsoft.com/office/2011/relationships/chartColorStyle" Target="colors26.xml"/><Relationship Id="rId1" Type="http://schemas.microsoft.com/office/2011/relationships/chartStyle" Target="style26.xml"/></Relationships>
</file>

<file path=xl/charts/_rels/chart27.xml.rels><?xml version="1.0" encoding="UTF-8" standalone="yes"?>
<Relationships xmlns="http://schemas.openxmlformats.org/package/2006/relationships"><Relationship Id="rId2" Type="http://schemas.microsoft.com/office/2011/relationships/chartColorStyle" Target="colors27.xml"/><Relationship Id="rId1" Type="http://schemas.microsoft.com/office/2011/relationships/chartStyle" Target="style27.xml"/></Relationships>
</file>

<file path=xl/charts/_rels/chart28.xml.rels><?xml version="1.0" encoding="UTF-8" standalone="yes"?>
<Relationships xmlns="http://schemas.openxmlformats.org/package/2006/relationships"><Relationship Id="rId2" Type="http://schemas.microsoft.com/office/2011/relationships/chartColorStyle" Target="colors28.xml"/><Relationship Id="rId1" Type="http://schemas.microsoft.com/office/2011/relationships/chartStyle" Target="style28.xml"/></Relationships>
</file>

<file path=xl/charts/_rels/chart29.xml.rels><?xml version="1.0" encoding="UTF-8" standalone="yes"?>
<Relationships xmlns="http://schemas.openxmlformats.org/package/2006/relationships"><Relationship Id="rId2" Type="http://schemas.microsoft.com/office/2011/relationships/chartColorStyle" Target="colors29.xml"/><Relationship Id="rId1" Type="http://schemas.microsoft.com/office/2011/relationships/chartStyle" Target="style29.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3" Type="http://schemas.openxmlformats.org/officeDocument/2006/relationships/chartUserShapes" Target="../drawings/drawing5.xml"/><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3" Type="http://schemas.openxmlformats.org/officeDocument/2006/relationships/chartUserShapes" Target="../drawings/drawing6.xml"/><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3" Type="http://schemas.openxmlformats.org/officeDocument/2006/relationships/chartUserShapes" Target="../drawings/drawing7.xml"/><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3" Type="http://schemas.openxmlformats.org/officeDocument/2006/relationships/chartUserShapes" Target="../drawings/drawing9.xml"/><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管理者用グラフシート!$B$10:$B$12</c:f>
              <c:numCache>
                <c:formatCode>General</c:formatCode>
                <c:ptCount val="3"/>
                <c:pt idx="0">
                  <c:v>2010</c:v>
                </c:pt>
                <c:pt idx="1">
                  <c:v>2015</c:v>
                </c:pt>
                <c:pt idx="2">
                  <c:v>2020</c:v>
                </c:pt>
              </c:numCache>
            </c:numRef>
          </c:cat>
          <c:val>
            <c:numRef>
              <c:f>管理者用グラフシート!$C$10:$C$12</c:f>
              <c:numCache>
                <c:formatCode>#,##0_);[Red]\(#,##0\)</c:formatCode>
                <c:ptCount val="3"/>
                <c:pt idx="0">
                  <c:v>34</c:v>
                </c:pt>
                <c:pt idx="1">
                  <c:v>31</c:v>
                </c:pt>
                <c:pt idx="2">
                  <c:v>36</c:v>
                </c:pt>
              </c:numCache>
            </c:numRef>
          </c:val>
          <c:extLst xmlns:c16r2="http://schemas.microsoft.com/office/drawing/2015/06/chart">
            <c:ext xmlns:c16="http://schemas.microsoft.com/office/drawing/2014/chart" uri="{C3380CC4-5D6E-409C-BE32-E72D297353CC}">
              <c16:uniqueId val="{00000000-4BFD-4BCA-8956-7FB6B8E4C37A}"/>
            </c:ext>
          </c:extLst>
        </c:ser>
        <c:dLbls>
          <c:showLegendKey val="0"/>
          <c:showVal val="0"/>
          <c:showCatName val="0"/>
          <c:showSerName val="0"/>
          <c:showPercent val="0"/>
          <c:showBubbleSize val="0"/>
        </c:dLbls>
        <c:gapWidth val="219"/>
        <c:overlap val="-27"/>
        <c:axId val="388744424"/>
        <c:axId val="388744816"/>
      </c:barChart>
      <c:catAx>
        <c:axId val="38874442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8744816"/>
        <c:crosses val="autoZero"/>
        <c:auto val="1"/>
        <c:lblAlgn val="ctr"/>
        <c:lblOffset val="100"/>
        <c:noMultiLvlLbl val="0"/>
      </c:catAx>
      <c:valAx>
        <c:axId val="388744816"/>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8744424"/>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FC70-49EA-ACF7-A526FDE66F17}"/>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FC70-49EA-ACF7-A526FDE66F17}"/>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FC70-49EA-ACF7-A526FDE66F17}"/>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FC70-49EA-ACF7-A526FDE66F17}"/>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管理者用グラフシート!$H$22:$H$28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管理者用グラフシート!$I$22:$I$28</c:f>
              <c:numCache>
                <c:formatCode>#,##0_);[Red]\(#,##0\)</c:formatCode>
                <c:ptCount val="7"/>
                <c:pt idx="0">
                  <c:v>23</c:v>
                </c:pt>
                <c:pt idx="1">
                  <c:v>14</c:v>
                </c:pt>
                <c:pt idx="2">
                  <c:v>16</c:v>
                </c:pt>
                <c:pt idx="3">
                  <c:v>17</c:v>
                </c:pt>
                <c:pt idx="4">
                  <c:v>15</c:v>
                </c:pt>
                <c:pt idx="5">
                  <c:v>12</c:v>
                </c:pt>
                <c:pt idx="6">
                  <c:v>10</c:v>
                </c:pt>
              </c:numCache>
            </c:numRef>
          </c:val>
          <c:extLst xmlns:c16r2="http://schemas.microsoft.com/office/drawing/2015/06/chart">
            <c:ext xmlns:c16="http://schemas.microsoft.com/office/drawing/2014/chart" uri="{C3380CC4-5D6E-409C-BE32-E72D297353CC}">
              <c16:uniqueId val="{00000008-FC70-49EA-ACF7-A526FDE66F17}"/>
            </c:ext>
          </c:extLst>
        </c:ser>
        <c:dLbls>
          <c:showLegendKey val="0"/>
          <c:showVal val="0"/>
          <c:showCatName val="0"/>
          <c:showSerName val="0"/>
          <c:showPercent val="0"/>
          <c:showBubbleSize val="0"/>
        </c:dLbls>
        <c:gapWidth val="219"/>
        <c:overlap val="-27"/>
        <c:axId val="388742072"/>
        <c:axId val="388742464"/>
      </c:barChart>
      <c:catAx>
        <c:axId val="38874207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8742464"/>
        <c:crosses val="autoZero"/>
        <c:auto val="1"/>
        <c:lblAlgn val="ctr"/>
        <c:lblOffset val="100"/>
        <c:noMultiLvlLbl val="0"/>
      </c:catAx>
      <c:valAx>
        <c:axId val="38874246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8742072"/>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A700-481C-AE33-21F3F3F4BA2B}"/>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A700-481C-AE33-21F3F3F4BA2B}"/>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A700-481C-AE33-21F3F3F4BA2B}"/>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A700-481C-AE33-21F3F3F4BA2B}"/>
              </c:ext>
            </c:extLst>
          </c:dPt>
          <c:dLbls>
            <c:dLbl>
              <c:idx val="5"/>
              <c:layout>
                <c:manualLayout>
                  <c:x val="0"/>
                  <c:y val="-1.227436590496870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A700-481C-AE33-21F3F3F4BA2B}"/>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管理者用グラフシート!$H$50:$H$56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管理者用グラフシート!$I$50:$I$56</c:f>
              <c:numCache>
                <c:formatCode>0%</c:formatCode>
                <c:ptCount val="7"/>
                <c:pt idx="0">
                  <c:v>0.33</c:v>
                </c:pt>
                <c:pt idx="1">
                  <c:v>0.37</c:v>
                </c:pt>
                <c:pt idx="2">
                  <c:v>0.42</c:v>
                </c:pt>
                <c:pt idx="3">
                  <c:v>0.45</c:v>
                </c:pt>
                <c:pt idx="4">
                  <c:v>0.48</c:v>
                </c:pt>
                <c:pt idx="5">
                  <c:v>0.49</c:v>
                </c:pt>
                <c:pt idx="6">
                  <c:v>0.52</c:v>
                </c:pt>
              </c:numCache>
            </c:numRef>
          </c:val>
          <c:extLst xmlns:c16r2="http://schemas.microsoft.com/office/drawing/2015/06/chart">
            <c:ext xmlns:c16="http://schemas.microsoft.com/office/drawing/2014/chart" uri="{C3380CC4-5D6E-409C-BE32-E72D297353CC}">
              <c16:uniqueId val="{00000008-A700-481C-AE33-21F3F3F4BA2B}"/>
            </c:ext>
          </c:extLst>
        </c:ser>
        <c:dLbls>
          <c:showLegendKey val="0"/>
          <c:showVal val="0"/>
          <c:showCatName val="0"/>
          <c:showSerName val="0"/>
          <c:showPercent val="0"/>
          <c:showBubbleSize val="0"/>
        </c:dLbls>
        <c:gapWidth val="219"/>
        <c:overlap val="-27"/>
        <c:axId val="452314776"/>
        <c:axId val="452315168"/>
      </c:barChart>
      <c:catAx>
        <c:axId val="45231477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2315168"/>
        <c:crosses val="autoZero"/>
        <c:auto val="1"/>
        <c:lblAlgn val="ctr"/>
        <c:lblOffset val="100"/>
        <c:noMultiLvlLbl val="0"/>
      </c:catAx>
      <c:valAx>
        <c:axId val="452315168"/>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2314776"/>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B7B9-4AA1-96CC-071B5B78874D}"/>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B7B9-4AA1-96CC-071B5B78874D}"/>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B7B9-4AA1-96CC-071B5B78874D}"/>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B7B9-4AA1-96CC-071B5B78874D}"/>
              </c:ext>
            </c:extLst>
          </c:dPt>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管理者用グラフシート!$H$58:$H$64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管理者用グラフシート!$I$58:$I$64</c:f>
              <c:numCache>
                <c:formatCode>0%</c:formatCode>
                <c:ptCount val="7"/>
                <c:pt idx="0">
                  <c:v>0.17</c:v>
                </c:pt>
                <c:pt idx="1">
                  <c:v>0.19</c:v>
                </c:pt>
                <c:pt idx="2">
                  <c:v>0.22</c:v>
                </c:pt>
                <c:pt idx="3">
                  <c:v>0.25</c:v>
                </c:pt>
                <c:pt idx="4">
                  <c:v>0.28000000000000003</c:v>
                </c:pt>
                <c:pt idx="5">
                  <c:v>0.3</c:v>
                </c:pt>
                <c:pt idx="6">
                  <c:v>0.31</c:v>
                </c:pt>
              </c:numCache>
            </c:numRef>
          </c:val>
          <c:extLst xmlns:c16r2="http://schemas.microsoft.com/office/drawing/2015/06/chart">
            <c:ext xmlns:c16="http://schemas.microsoft.com/office/drawing/2014/chart" uri="{C3380CC4-5D6E-409C-BE32-E72D297353CC}">
              <c16:uniqueId val="{00000008-B7B9-4AA1-96CC-071B5B78874D}"/>
            </c:ext>
          </c:extLst>
        </c:ser>
        <c:dLbls>
          <c:showLegendKey val="0"/>
          <c:showVal val="0"/>
          <c:showCatName val="0"/>
          <c:showSerName val="0"/>
          <c:showPercent val="0"/>
          <c:showBubbleSize val="0"/>
        </c:dLbls>
        <c:gapWidth val="219"/>
        <c:overlap val="-27"/>
        <c:axId val="452315560"/>
        <c:axId val="452313600"/>
      </c:barChart>
      <c:catAx>
        <c:axId val="45231556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2313600"/>
        <c:crosses val="autoZero"/>
        <c:auto val="1"/>
        <c:lblAlgn val="ctr"/>
        <c:lblOffset val="100"/>
        <c:noMultiLvlLbl val="0"/>
      </c:catAx>
      <c:valAx>
        <c:axId val="452313600"/>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2315560"/>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（これまでの傾向が続いた場合）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3816721763976161"/>
          <c:y val="1.9857405479765017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管理者用グラフシート!$H$92</c:f>
              <c:strCache>
                <c:ptCount val="1"/>
                <c:pt idx="0">
                  <c:v>男性</c:v>
                </c:pt>
              </c:strCache>
            </c:strRef>
          </c:tx>
          <c:spPr>
            <a:solidFill>
              <a:srgbClr val="99FF99"/>
            </a:solidFill>
            <a:ln>
              <a:solidFill>
                <a:schemeClr val="tx1"/>
              </a:solidFill>
            </a:ln>
            <a:effectLst/>
          </c:spPr>
          <c:invertIfNegative val="0"/>
          <c:dLbls>
            <c:dLbl>
              <c:idx val="19"/>
              <c:layout>
                <c:manualLayout>
                  <c:x val="-3.693632612406296E-2"/>
                  <c:y val="-3.2637381854926325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4771-483B-8A2B-D6676AADF4F1}"/>
                </c:ext>
                <c:ext xmlns:c15="http://schemas.microsoft.com/office/drawing/2012/chart" uri="{CE6537A1-D6FC-4f65-9D91-7224C49458BB}"/>
              </c:extLst>
            </c:dLbl>
            <c:dLbl>
              <c:idx val="20"/>
              <c:layout>
                <c:manualLayout>
                  <c:x val="-3.670775911432337E-2"/>
                  <c:y val="-1.6642494873425422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4771-483B-8A2B-D6676AADF4F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管理者用グラフシート!$H$93:$H$113</c:f>
              <c:numCache>
                <c:formatCode>#,##0_);[Red]\(#,##0\)</c:formatCode>
                <c:ptCount val="21"/>
                <c:pt idx="0">
                  <c:v>5</c:v>
                </c:pt>
                <c:pt idx="1">
                  <c:v>6</c:v>
                </c:pt>
                <c:pt idx="2">
                  <c:v>10</c:v>
                </c:pt>
                <c:pt idx="3">
                  <c:v>12</c:v>
                </c:pt>
                <c:pt idx="4">
                  <c:v>7</c:v>
                </c:pt>
                <c:pt idx="5">
                  <c:v>3</c:v>
                </c:pt>
                <c:pt idx="6">
                  <c:v>2</c:v>
                </c:pt>
                <c:pt idx="7">
                  <c:v>5</c:v>
                </c:pt>
                <c:pt idx="8">
                  <c:v>5</c:v>
                </c:pt>
                <c:pt idx="9">
                  <c:v>22</c:v>
                </c:pt>
                <c:pt idx="10">
                  <c:v>14</c:v>
                </c:pt>
                <c:pt idx="11">
                  <c:v>20</c:v>
                </c:pt>
                <c:pt idx="12">
                  <c:v>20</c:v>
                </c:pt>
                <c:pt idx="13">
                  <c:v>24</c:v>
                </c:pt>
                <c:pt idx="14">
                  <c:v>26</c:v>
                </c:pt>
                <c:pt idx="15">
                  <c:v>26</c:v>
                </c:pt>
                <c:pt idx="16">
                  <c:v>25</c:v>
                </c:pt>
                <c:pt idx="17">
                  <c:v>11</c:v>
                </c:pt>
                <c:pt idx="18">
                  <c:v>5</c:v>
                </c:pt>
                <c:pt idx="19">
                  <c:v>0</c:v>
                </c:pt>
                <c:pt idx="20">
                  <c:v>0</c:v>
                </c:pt>
              </c:numCache>
            </c:numRef>
          </c:val>
          <c:extLst xmlns:c16r2="http://schemas.microsoft.com/office/drawing/2015/06/chart">
            <c:ext xmlns:c16="http://schemas.microsoft.com/office/drawing/2014/chart" uri="{C3380CC4-5D6E-409C-BE32-E72D297353CC}">
              <c16:uniqueId val="{00000002-3488-4DD3-9443-68C8992CE3A2}"/>
            </c:ext>
          </c:extLst>
        </c:ser>
        <c:dLbls>
          <c:showLegendKey val="0"/>
          <c:showVal val="0"/>
          <c:showCatName val="0"/>
          <c:showSerName val="0"/>
          <c:showPercent val="0"/>
          <c:showBubbleSize val="0"/>
        </c:dLbls>
        <c:gapWidth val="0"/>
        <c:axId val="452312424"/>
        <c:axId val="452313208"/>
      </c:barChart>
      <c:barChart>
        <c:barDir val="bar"/>
        <c:grouping val="clustered"/>
        <c:varyColors val="0"/>
        <c:ser>
          <c:idx val="1"/>
          <c:order val="1"/>
          <c:tx>
            <c:strRef>
              <c:f>管理者用グラフシート!$I$92</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管理者用グラフシート!$G$69:$G$89</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管理者用グラフシート!$I$93:$I$113</c:f>
              <c:numCache>
                <c:formatCode>#,##0_);[Red]\(#,##0\)</c:formatCode>
                <c:ptCount val="21"/>
                <c:pt idx="0">
                  <c:v>11</c:v>
                </c:pt>
                <c:pt idx="1">
                  <c:v>12</c:v>
                </c:pt>
                <c:pt idx="2">
                  <c:v>14</c:v>
                </c:pt>
                <c:pt idx="3">
                  <c:v>12</c:v>
                </c:pt>
                <c:pt idx="4">
                  <c:v>9</c:v>
                </c:pt>
                <c:pt idx="5">
                  <c:v>6</c:v>
                </c:pt>
                <c:pt idx="6">
                  <c:v>7</c:v>
                </c:pt>
                <c:pt idx="7">
                  <c:v>9</c:v>
                </c:pt>
                <c:pt idx="8">
                  <c:v>10</c:v>
                </c:pt>
                <c:pt idx="9">
                  <c:v>15</c:v>
                </c:pt>
                <c:pt idx="10">
                  <c:v>12</c:v>
                </c:pt>
                <c:pt idx="11">
                  <c:v>20</c:v>
                </c:pt>
                <c:pt idx="12">
                  <c:v>25</c:v>
                </c:pt>
                <c:pt idx="13">
                  <c:v>27</c:v>
                </c:pt>
                <c:pt idx="14">
                  <c:v>33</c:v>
                </c:pt>
                <c:pt idx="15">
                  <c:v>34</c:v>
                </c:pt>
                <c:pt idx="16">
                  <c:v>27</c:v>
                </c:pt>
                <c:pt idx="17">
                  <c:v>19</c:v>
                </c:pt>
                <c:pt idx="18">
                  <c:v>9</c:v>
                </c:pt>
                <c:pt idx="19">
                  <c:v>3</c:v>
                </c:pt>
                <c:pt idx="20">
                  <c:v>0</c:v>
                </c:pt>
              </c:numCache>
            </c:numRef>
          </c:val>
          <c:extLst xmlns:c16r2="http://schemas.microsoft.com/office/drawing/2015/06/chart">
            <c:ext xmlns:c16="http://schemas.microsoft.com/office/drawing/2014/chart" uri="{C3380CC4-5D6E-409C-BE32-E72D297353CC}">
              <c16:uniqueId val="{00000003-3488-4DD3-9443-68C8992CE3A2}"/>
            </c:ext>
          </c:extLst>
        </c:ser>
        <c:dLbls>
          <c:showLegendKey val="0"/>
          <c:showVal val="0"/>
          <c:showCatName val="0"/>
          <c:showSerName val="0"/>
          <c:showPercent val="0"/>
          <c:showBubbleSize val="0"/>
        </c:dLbls>
        <c:gapWidth val="0"/>
        <c:axId val="452313992"/>
        <c:axId val="452312816"/>
      </c:barChart>
      <c:catAx>
        <c:axId val="452312424"/>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2313208"/>
        <c:crosses val="autoZero"/>
        <c:auto val="1"/>
        <c:lblAlgn val="ctr"/>
        <c:lblOffset val="100"/>
        <c:noMultiLvlLbl val="0"/>
      </c:catAx>
      <c:valAx>
        <c:axId val="452313208"/>
        <c:scaling>
          <c:orientation val="maxMin"/>
          <c:max val="100"/>
          <c:min val="-1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2312424"/>
        <c:crosses val="autoZero"/>
        <c:crossBetween val="between"/>
        <c:majorUnit val="50"/>
      </c:valAx>
      <c:valAx>
        <c:axId val="452312816"/>
        <c:scaling>
          <c:orientation val="minMax"/>
          <c:max val="100"/>
          <c:min val="-1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2313992"/>
        <c:crosses val="max"/>
        <c:crossBetween val="between"/>
        <c:majorUnit val="50"/>
      </c:valAx>
      <c:catAx>
        <c:axId val="452313992"/>
        <c:scaling>
          <c:orientation val="minMax"/>
        </c:scaling>
        <c:delete val="1"/>
        <c:axPos val="l"/>
        <c:numFmt formatCode="General" sourceLinked="1"/>
        <c:majorTickMark val="out"/>
        <c:minorTickMark val="none"/>
        <c:tickLblPos val="nextTo"/>
        <c:crossAx val="452312816"/>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c:printSettings>
  <c:userShapes r:id="rId3"/>
</c:chartSpace>
</file>

<file path=xl/charts/chart1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（これまでの傾向が続いた場合）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483234184921908"/>
          <c:y val="1.1629850721702934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管理者用グラフシート!$H$140</c:f>
              <c:strCache>
                <c:ptCount val="1"/>
                <c:pt idx="0">
                  <c:v>男性</c:v>
                </c:pt>
              </c:strCache>
            </c:strRef>
          </c:tx>
          <c:spPr>
            <a:solidFill>
              <a:srgbClr val="99FF99"/>
            </a:solidFill>
            <a:ln>
              <a:solidFill>
                <a:schemeClr val="tx1"/>
              </a:solidFill>
            </a:ln>
            <a:effectLst/>
          </c:spPr>
          <c:invertIfNegative val="0"/>
          <c:dLbls>
            <c:dLbl>
              <c:idx val="19"/>
              <c:layout>
                <c:manualLayout>
                  <c:x val="-3.7011220950116441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0310-4CC0-9156-26D0F954E941}"/>
                </c:ext>
                <c:ext xmlns:c15="http://schemas.microsoft.com/office/drawing/2012/chart" uri="{CE6537A1-D6FC-4f65-9D91-7224C49458BB}"/>
              </c:extLst>
            </c:dLbl>
            <c:dLbl>
              <c:idx val="20"/>
              <c:layout>
                <c:manualLayout>
                  <c:x val="-3.3486620317711206E-2"/>
                  <c:y val="-4.931667353102779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0310-4CC0-9156-26D0F954E94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管理者用グラフシート!$H$141:$H$161</c:f>
              <c:numCache>
                <c:formatCode>#,##0_);[Red]\(#,##0\)</c:formatCode>
                <c:ptCount val="21"/>
                <c:pt idx="0">
                  <c:v>5</c:v>
                </c:pt>
                <c:pt idx="1">
                  <c:v>6</c:v>
                </c:pt>
                <c:pt idx="2">
                  <c:v>7</c:v>
                </c:pt>
                <c:pt idx="3">
                  <c:v>5</c:v>
                </c:pt>
                <c:pt idx="4">
                  <c:v>4</c:v>
                </c:pt>
                <c:pt idx="5">
                  <c:v>4</c:v>
                </c:pt>
                <c:pt idx="6">
                  <c:v>3</c:v>
                </c:pt>
                <c:pt idx="7">
                  <c:v>2</c:v>
                </c:pt>
                <c:pt idx="8">
                  <c:v>3</c:v>
                </c:pt>
                <c:pt idx="9">
                  <c:v>7</c:v>
                </c:pt>
                <c:pt idx="10">
                  <c:v>4</c:v>
                </c:pt>
                <c:pt idx="11">
                  <c:v>18</c:v>
                </c:pt>
                <c:pt idx="12">
                  <c:v>13</c:v>
                </c:pt>
                <c:pt idx="13">
                  <c:v>22</c:v>
                </c:pt>
                <c:pt idx="14">
                  <c:v>19</c:v>
                </c:pt>
                <c:pt idx="15">
                  <c:v>20</c:v>
                </c:pt>
                <c:pt idx="16">
                  <c:v>18</c:v>
                </c:pt>
                <c:pt idx="17">
                  <c:v>13</c:v>
                </c:pt>
                <c:pt idx="18">
                  <c:v>6</c:v>
                </c:pt>
                <c:pt idx="19">
                  <c:v>0</c:v>
                </c:pt>
                <c:pt idx="20">
                  <c:v>0</c:v>
                </c:pt>
              </c:numCache>
            </c:numRef>
          </c:val>
          <c:extLst xmlns:c16r2="http://schemas.microsoft.com/office/drawing/2015/06/chart">
            <c:ext xmlns:c16="http://schemas.microsoft.com/office/drawing/2014/chart" uri="{C3380CC4-5D6E-409C-BE32-E72D297353CC}">
              <c16:uniqueId val="{00000002-A6C8-40E4-8863-C8F9B14B85DA}"/>
            </c:ext>
          </c:extLst>
        </c:ser>
        <c:dLbls>
          <c:showLegendKey val="0"/>
          <c:showVal val="0"/>
          <c:showCatName val="0"/>
          <c:showSerName val="0"/>
          <c:showPercent val="0"/>
          <c:showBubbleSize val="0"/>
        </c:dLbls>
        <c:gapWidth val="0"/>
        <c:axId val="452503936"/>
        <c:axId val="452506288"/>
      </c:barChart>
      <c:barChart>
        <c:barDir val="bar"/>
        <c:grouping val="clustered"/>
        <c:varyColors val="0"/>
        <c:ser>
          <c:idx val="1"/>
          <c:order val="1"/>
          <c:tx>
            <c:strRef>
              <c:f>管理者用グラフシート!$I$140</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管理者用グラフシート!$G$93:$G$113</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管理者用グラフシート!$I$141:$I$161</c:f>
              <c:numCache>
                <c:formatCode>#,##0_);[Red]\(#,##0\)</c:formatCode>
                <c:ptCount val="21"/>
                <c:pt idx="0">
                  <c:v>10</c:v>
                </c:pt>
                <c:pt idx="1">
                  <c:v>11</c:v>
                </c:pt>
                <c:pt idx="2">
                  <c:v>10</c:v>
                </c:pt>
                <c:pt idx="3">
                  <c:v>12</c:v>
                </c:pt>
                <c:pt idx="4">
                  <c:v>10</c:v>
                </c:pt>
                <c:pt idx="5">
                  <c:v>6</c:v>
                </c:pt>
                <c:pt idx="6">
                  <c:v>5</c:v>
                </c:pt>
                <c:pt idx="7">
                  <c:v>7</c:v>
                </c:pt>
                <c:pt idx="8">
                  <c:v>11</c:v>
                </c:pt>
                <c:pt idx="9">
                  <c:v>9</c:v>
                </c:pt>
                <c:pt idx="10">
                  <c:v>9</c:v>
                </c:pt>
                <c:pt idx="11">
                  <c:v>14</c:v>
                </c:pt>
                <c:pt idx="12">
                  <c:v>13</c:v>
                </c:pt>
                <c:pt idx="13">
                  <c:v>24</c:v>
                </c:pt>
                <c:pt idx="14">
                  <c:v>25</c:v>
                </c:pt>
                <c:pt idx="15">
                  <c:v>24</c:v>
                </c:pt>
                <c:pt idx="16">
                  <c:v>22</c:v>
                </c:pt>
                <c:pt idx="17">
                  <c:v>20</c:v>
                </c:pt>
                <c:pt idx="18">
                  <c:v>11</c:v>
                </c:pt>
                <c:pt idx="19">
                  <c:v>3</c:v>
                </c:pt>
                <c:pt idx="20">
                  <c:v>0</c:v>
                </c:pt>
              </c:numCache>
            </c:numRef>
          </c:val>
          <c:extLst xmlns:c16r2="http://schemas.microsoft.com/office/drawing/2015/06/chart">
            <c:ext xmlns:c16="http://schemas.microsoft.com/office/drawing/2014/chart" uri="{C3380CC4-5D6E-409C-BE32-E72D297353CC}">
              <c16:uniqueId val="{00000003-A6C8-40E4-8863-C8F9B14B85DA}"/>
            </c:ext>
          </c:extLst>
        </c:ser>
        <c:dLbls>
          <c:showLegendKey val="0"/>
          <c:showVal val="0"/>
          <c:showCatName val="0"/>
          <c:showSerName val="0"/>
          <c:showPercent val="0"/>
          <c:showBubbleSize val="0"/>
        </c:dLbls>
        <c:gapWidth val="0"/>
        <c:axId val="452504328"/>
        <c:axId val="452503544"/>
      </c:barChart>
      <c:catAx>
        <c:axId val="452503936"/>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2506288"/>
        <c:crosses val="autoZero"/>
        <c:auto val="1"/>
        <c:lblAlgn val="ctr"/>
        <c:lblOffset val="100"/>
        <c:noMultiLvlLbl val="0"/>
      </c:catAx>
      <c:valAx>
        <c:axId val="452506288"/>
        <c:scaling>
          <c:orientation val="maxMin"/>
          <c:max val="100"/>
          <c:min val="-1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2503936"/>
        <c:crosses val="autoZero"/>
        <c:crossBetween val="between"/>
        <c:majorUnit val="50"/>
      </c:valAx>
      <c:valAx>
        <c:axId val="452503544"/>
        <c:scaling>
          <c:orientation val="minMax"/>
          <c:max val="100"/>
          <c:min val="-1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2504328"/>
        <c:crosses val="max"/>
        <c:crossBetween val="between"/>
        <c:majorUnit val="50"/>
      </c:valAx>
      <c:catAx>
        <c:axId val="452504328"/>
        <c:scaling>
          <c:orientation val="minMax"/>
        </c:scaling>
        <c:delete val="1"/>
        <c:axPos val="l"/>
        <c:numFmt formatCode="General" sourceLinked="1"/>
        <c:majorTickMark val="out"/>
        <c:minorTickMark val="none"/>
        <c:tickLblPos val="nextTo"/>
        <c:crossAx val="452503544"/>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c:printSettings>
  <c:userShapes r:id="rId3"/>
</c:chartSpace>
</file>

<file path=xl/charts/chart1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20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2000"/>
              <a:t>総人口の推移グラフ</a:t>
            </a:r>
          </a:p>
        </c:rich>
      </c:tx>
      <c:overlay val="0"/>
      <c:spPr>
        <a:noFill/>
        <a:ln>
          <a:noFill/>
        </a:ln>
        <a:effectLst/>
      </c:spPr>
      <c:txPr>
        <a:bodyPr rot="0" spcFirstLastPara="1" vertOverflow="ellipsis" vert="horz" wrap="square" anchor="ctr" anchorCtr="1"/>
        <a:lstStyle/>
        <a:p>
          <a:pPr>
            <a:defRPr sz="20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管理者用グラフシート!$P$2</c:f>
              <c:strCache>
                <c:ptCount val="1"/>
                <c:pt idx="0">
                  <c:v>これまでの傾向が続いた場合</c:v>
                </c:pt>
              </c:strCache>
            </c:strRef>
          </c:tx>
          <c:spPr>
            <a:solidFill>
              <a:schemeClr val="accent5">
                <a:lumMod val="20000"/>
                <a:lumOff val="80000"/>
              </a:schemeClr>
            </a:solidFill>
            <a:ln>
              <a:solidFill>
                <a:schemeClr val="accent5"/>
              </a:solidFill>
            </a:ln>
            <a:effectLst/>
          </c:spPr>
          <c:invertIfNegative val="0"/>
          <c:dPt>
            <c:idx val="0"/>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1-595E-49AD-94C5-E45C38D5973A}"/>
              </c:ext>
            </c:extLst>
          </c:dPt>
          <c:dPt>
            <c:idx val="1"/>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3-595E-49AD-94C5-E45C38D5973A}"/>
              </c:ext>
            </c:extLst>
          </c:dPt>
          <c:dPt>
            <c:idx val="2"/>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5-595E-49AD-94C5-E45C38D5973A}"/>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管理者用グラフシート!$O$4:$O$10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管理者用グラフシート!$R$4:$R$10</c:f>
              <c:numCache>
                <c:formatCode>#,##0_);[Red]\(#,##0\)</c:formatCode>
                <c:ptCount val="7"/>
                <c:pt idx="0">
                  <c:v>783</c:v>
                </c:pt>
                <c:pt idx="1">
                  <c:v>755</c:v>
                </c:pt>
                <c:pt idx="2">
                  <c:v>696</c:v>
                </c:pt>
                <c:pt idx="3">
                  <c:v>633</c:v>
                </c:pt>
                <c:pt idx="4">
                  <c:v>562</c:v>
                </c:pt>
                <c:pt idx="5">
                  <c:v>500</c:v>
                </c:pt>
                <c:pt idx="6">
                  <c:v>435</c:v>
                </c:pt>
              </c:numCache>
            </c:numRef>
          </c:val>
          <c:extLst xmlns:c16r2="http://schemas.microsoft.com/office/drawing/2015/06/chart">
            <c:ext xmlns:c16="http://schemas.microsoft.com/office/drawing/2014/chart" uri="{C3380CC4-5D6E-409C-BE32-E72D297353CC}">
              <c16:uniqueId val="{0000000E-595E-49AD-94C5-E45C38D5973A}"/>
            </c:ext>
          </c:extLst>
        </c:ser>
        <c:ser>
          <c:idx val="1"/>
          <c:order val="1"/>
          <c:tx>
            <c:strRef>
              <c:f>管理者用グラフシート!$S$2</c:f>
              <c:strCache>
                <c:ptCount val="1"/>
                <c:pt idx="0">
                  <c:v>移住受入を進めた場合</c:v>
                </c:pt>
              </c:strCache>
            </c:strRef>
          </c:tx>
          <c:spPr>
            <a:pattFill prst="pct25">
              <a:fgClr>
                <a:srgbClr val="FF0000"/>
              </a:fgClr>
              <a:bgClr>
                <a:schemeClr val="bg1"/>
              </a:bgClr>
            </a:pattFill>
            <a:ln>
              <a:solidFill>
                <a:srgbClr val="FF0000"/>
              </a:solidFill>
            </a:ln>
            <a:effectLst/>
          </c:spPr>
          <c:invertIfNegative val="0"/>
          <c:dLbls>
            <c:dLbl>
              <c:idx val="3"/>
              <c:layout>
                <c:manualLayout>
                  <c:x val="6.341999567545541E-3"/>
                  <c:y val="-3.4640633511242962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6-23AB-402B-BBB9-AD1DAAF6A2C0}"/>
                </c:ext>
                <c:ext xmlns:c15="http://schemas.microsoft.com/office/drawing/2012/chart" uri="{CE6537A1-D6FC-4f65-9D91-7224C49458BB}"/>
              </c:extLst>
            </c:dLbl>
            <c:dLbl>
              <c:idx val="4"/>
              <c:layout>
                <c:manualLayout>
                  <c:x val="-2.1139998558485137E-3"/>
                  <c:y val="-3.056526486286151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23AB-402B-BBB9-AD1DAAF6A2C0}"/>
                </c:ext>
                <c:ext xmlns:c15="http://schemas.microsoft.com/office/drawing/2012/chart" uri="{CE6537A1-D6FC-4f65-9D91-7224C49458BB}"/>
              </c:extLst>
            </c:dLbl>
            <c:dLbl>
              <c:idx val="5"/>
              <c:layout>
                <c:manualLayout>
                  <c:x val="-1.5502486523508569E-16"/>
                  <c:y val="-2.4452211890289149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8-23AB-402B-BBB9-AD1DAAF6A2C0}"/>
                </c:ext>
                <c:ext xmlns:c15="http://schemas.microsoft.com/office/drawing/2012/chart" uri="{CE6537A1-D6FC-4f65-9D91-7224C49458BB}"/>
              </c:extLst>
            </c:dLbl>
            <c:dLbl>
              <c:idx val="6"/>
              <c:layout>
                <c:manualLayout>
                  <c:x val="0"/>
                  <c:y val="-2.62280992190301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23AB-402B-BBB9-AD1DAAF6A2C0}"/>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管理者用グラフシート!$O$4:$O$10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管理者用グラフシート!$U$4:$U$10</c:f>
              <c:numCache>
                <c:formatCode>General</c:formatCode>
                <c:ptCount val="7"/>
                <c:pt idx="3" formatCode="#,##0_);[Red]\(#,##0\)">
                  <c:v>642</c:v>
                </c:pt>
                <c:pt idx="4" formatCode="#,##0_);[Red]\(#,##0\)">
                  <c:v>582</c:v>
                </c:pt>
                <c:pt idx="5" formatCode="#,##0_);[Red]\(#,##0\)">
                  <c:v>530</c:v>
                </c:pt>
                <c:pt idx="6" formatCode="#,##0_);[Red]\(#,##0\)">
                  <c:v>475</c:v>
                </c:pt>
              </c:numCache>
            </c:numRef>
          </c:val>
          <c:extLst xmlns:c16r2="http://schemas.microsoft.com/office/drawing/2015/06/chart">
            <c:ext xmlns:c16="http://schemas.microsoft.com/office/drawing/2014/chart" uri="{C3380CC4-5D6E-409C-BE32-E72D297353CC}">
              <c16:uniqueId val="{00000013-595E-49AD-94C5-E45C38D5973A}"/>
            </c:ext>
          </c:extLst>
        </c:ser>
        <c:dLbls>
          <c:showLegendKey val="0"/>
          <c:showVal val="0"/>
          <c:showCatName val="0"/>
          <c:showSerName val="0"/>
          <c:showPercent val="0"/>
          <c:showBubbleSize val="0"/>
        </c:dLbls>
        <c:gapWidth val="219"/>
        <c:overlap val="-27"/>
        <c:axId val="452507856"/>
        <c:axId val="452502368"/>
      </c:barChart>
      <c:catAx>
        <c:axId val="45250785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2502368"/>
        <c:crosses val="autoZero"/>
        <c:auto val="1"/>
        <c:lblAlgn val="ctr"/>
        <c:lblOffset val="100"/>
        <c:noMultiLvlLbl val="0"/>
      </c:catAx>
      <c:valAx>
        <c:axId val="452502368"/>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2507856"/>
        <c:crosses val="autoZero"/>
        <c:crossBetween val="between"/>
      </c:valAx>
      <c:spPr>
        <a:noFill/>
        <a:ln>
          <a:noFill/>
        </a:ln>
        <a:effectLst/>
      </c:spPr>
    </c:plotArea>
    <c:legend>
      <c:legendPos val="t"/>
      <c:legendEntry>
        <c:idx val="0"/>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Entry>
      <c:legendEntry>
        <c:idx val="1"/>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Entry>
      <c:layout>
        <c:manualLayout>
          <c:xMode val="edge"/>
          <c:yMode val="edge"/>
          <c:x val="9.1742117189389863E-2"/>
          <c:y val="6.9867082867093172E-2"/>
          <c:w val="0.89068616984513305"/>
          <c:h val="4.3375262900040304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管理者用グラフシート!$P$13</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A453-42E8-B1C9-07C7EA602A08}"/>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A453-42E8-B1C9-07C7EA602A08}"/>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A453-42E8-B1C9-07C7EA602A08}"/>
              </c:ext>
            </c:extLst>
          </c:dPt>
          <c:dPt>
            <c:idx val="3"/>
            <c:invertIfNegative val="0"/>
            <c:bubble3D val="0"/>
            <c:extLst xmlns:c16r2="http://schemas.microsoft.com/office/drawing/2015/06/chart">
              <c:ext xmlns:c16="http://schemas.microsoft.com/office/drawing/2014/chart" uri="{C3380CC4-5D6E-409C-BE32-E72D297353CC}">
                <c16:uniqueId val="{00000007-A453-42E8-B1C9-07C7EA602A08}"/>
              </c:ext>
            </c:extLst>
          </c:dPt>
          <c:dPt>
            <c:idx val="4"/>
            <c:invertIfNegative val="0"/>
            <c:bubble3D val="0"/>
            <c:extLst xmlns:c16r2="http://schemas.microsoft.com/office/drawing/2015/06/chart">
              <c:ext xmlns:c16="http://schemas.microsoft.com/office/drawing/2014/chart" uri="{C3380CC4-5D6E-409C-BE32-E72D297353CC}">
                <c16:uniqueId val="{00000009-A453-42E8-B1C9-07C7EA602A08}"/>
              </c:ext>
            </c:extLst>
          </c:dPt>
          <c:dPt>
            <c:idx val="5"/>
            <c:invertIfNegative val="0"/>
            <c:bubble3D val="0"/>
            <c:extLst xmlns:c16r2="http://schemas.microsoft.com/office/drawing/2015/06/chart">
              <c:ext xmlns:c16="http://schemas.microsoft.com/office/drawing/2014/chart" uri="{C3380CC4-5D6E-409C-BE32-E72D297353CC}">
                <c16:uniqueId val="{0000000B-A453-42E8-B1C9-07C7EA602A08}"/>
              </c:ext>
            </c:extLst>
          </c:dPt>
          <c:dPt>
            <c:idx val="6"/>
            <c:invertIfNegative val="0"/>
            <c:bubble3D val="0"/>
            <c:extLst xmlns:c16r2="http://schemas.microsoft.com/office/drawing/2015/06/chart">
              <c:ext xmlns:c16="http://schemas.microsoft.com/office/drawing/2014/chart" uri="{C3380CC4-5D6E-409C-BE32-E72D297353CC}">
                <c16:uniqueId val="{0000000D-A453-42E8-B1C9-07C7EA602A08}"/>
              </c:ext>
            </c:extLst>
          </c:dPt>
          <c:dLbls>
            <c:dLbl>
              <c:idx val="6"/>
              <c:layout>
                <c:manualLayout>
                  <c:x val="-8.7124940423176818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A453-42E8-B1C9-07C7EA602A0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管理者用グラフシート!$O$14:$O$20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管理者用グラフシート!$P$14:$P$20</c:f>
              <c:numCache>
                <c:formatCode>#,##0_);[Red]\(#,##0\)</c:formatCode>
                <c:ptCount val="7"/>
                <c:pt idx="0">
                  <c:v>34</c:v>
                </c:pt>
                <c:pt idx="1">
                  <c:v>31</c:v>
                </c:pt>
                <c:pt idx="2">
                  <c:v>36</c:v>
                </c:pt>
                <c:pt idx="3">
                  <c:v>33</c:v>
                </c:pt>
                <c:pt idx="4">
                  <c:v>26</c:v>
                </c:pt>
                <c:pt idx="5">
                  <c:v>22</c:v>
                </c:pt>
                <c:pt idx="6">
                  <c:v>21</c:v>
                </c:pt>
              </c:numCache>
            </c:numRef>
          </c:val>
          <c:extLst xmlns:c16r2="http://schemas.microsoft.com/office/drawing/2015/06/chart">
            <c:ext xmlns:c16="http://schemas.microsoft.com/office/drawing/2014/chart" uri="{C3380CC4-5D6E-409C-BE32-E72D297353CC}">
              <c16:uniqueId val="{0000000E-A453-42E8-B1C9-07C7EA602A08}"/>
            </c:ext>
          </c:extLst>
        </c:ser>
        <c:ser>
          <c:idx val="1"/>
          <c:order val="1"/>
          <c:tx>
            <c:strRef>
              <c:f>管理者用グラフシート!$Q$13</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7.6892905097100577E-3"/>
                  <c:y val="-4.4653354719391788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F-A453-42E8-B1C9-07C7EA602A08}"/>
                </c:ext>
                <c:ext xmlns:c15="http://schemas.microsoft.com/office/drawing/2012/chart" uri="{CE6537A1-D6FC-4f65-9D91-7224C49458BB}"/>
              </c:extLst>
            </c:dLbl>
            <c:dLbl>
              <c:idx val="4"/>
              <c:layout>
                <c:manualLayout>
                  <c:x val="7.6892905097100577E-3"/>
                  <c:y val="-4.082149066378509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0-A453-42E8-B1C9-07C7EA602A08}"/>
                </c:ext>
                <c:ext xmlns:c15="http://schemas.microsoft.com/office/drawing/2012/chart" uri="{CE6537A1-D6FC-4f65-9D91-7224C49458BB}"/>
              </c:extLst>
            </c:dLbl>
            <c:dLbl>
              <c:idx val="5"/>
              <c:layout>
                <c:manualLayout>
                  <c:x val="1.2045537530868898E-2"/>
                  <c:y val="-4.4046160796089022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1-A453-42E8-B1C9-07C7EA602A08}"/>
                </c:ext>
                <c:ext xmlns:c15="http://schemas.microsoft.com/office/drawing/2012/chart" uri="{CE6537A1-D6FC-4f65-9D91-7224C49458BB}"/>
              </c:extLst>
            </c:dLbl>
            <c:dLbl>
              <c:idx val="6"/>
              <c:layout>
                <c:manualLayout>
                  <c:x val="6.0228012823348659E-3"/>
                  <c:y val="-4.4444444444444446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2-A453-42E8-B1C9-07C7EA602A0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管理者用グラフシート!$O$14:$O$20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管理者用グラフシート!$Q$14:$Q$20</c:f>
              <c:numCache>
                <c:formatCode>#,##0_);[Red]\(#,##0\)</c:formatCode>
                <c:ptCount val="7"/>
                <c:pt idx="3">
                  <c:v>34</c:v>
                </c:pt>
                <c:pt idx="4">
                  <c:v>28</c:v>
                </c:pt>
                <c:pt idx="5">
                  <c:v>27</c:v>
                </c:pt>
                <c:pt idx="6">
                  <c:v>28</c:v>
                </c:pt>
              </c:numCache>
            </c:numRef>
          </c:val>
          <c:extLst xmlns:c16r2="http://schemas.microsoft.com/office/drawing/2015/06/chart">
            <c:ext xmlns:c16="http://schemas.microsoft.com/office/drawing/2014/chart" uri="{C3380CC4-5D6E-409C-BE32-E72D297353CC}">
              <c16:uniqueId val="{00000013-A453-42E8-B1C9-07C7EA602A08}"/>
            </c:ext>
          </c:extLst>
        </c:ser>
        <c:dLbls>
          <c:showLegendKey val="0"/>
          <c:showVal val="0"/>
          <c:showCatName val="0"/>
          <c:showSerName val="0"/>
          <c:showPercent val="0"/>
          <c:showBubbleSize val="0"/>
        </c:dLbls>
        <c:gapWidth val="219"/>
        <c:overlap val="-27"/>
        <c:axId val="452502760"/>
        <c:axId val="452503152"/>
      </c:barChart>
      <c:catAx>
        <c:axId val="45250276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2503152"/>
        <c:crosses val="autoZero"/>
        <c:auto val="1"/>
        <c:lblAlgn val="ctr"/>
        <c:lblOffset val="100"/>
        <c:noMultiLvlLbl val="0"/>
      </c:catAx>
      <c:valAx>
        <c:axId val="452503152"/>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2502760"/>
        <c:crosses val="autoZero"/>
        <c:crossBetween val="between"/>
      </c:valAx>
      <c:spPr>
        <a:noFill/>
        <a:ln>
          <a:noFill/>
        </a:ln>
        <a:effectLst/>
      </c:spPr>
    </c:plotArea>
    <c:legend>
      <c:legendPos val="t"/>
      <c:layout>
        <c:manualLayout>
          <c:xMode val="edge"/>
          <c:yMode val="edge"/>
          <c:x val="5.7385836743297169E-2"/>
          <c:y val="0.11340928033462169"/>
          <c:w val="0.90010382427679203"/>
          <c:h val="6.0167856974258332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管理者用グラフシート!$P$49</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1605-43B9-925E-45C019BFAE2E}"/>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1605-43B9-925E-45C019BFAE2E}"/>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1605-43B9-925E-45C019BFAE2E}"/>
              </c:ext>
            </c:extLst>
          </c:dPt>
          <c:dPt>
            <c:idx val="3"/>
            <c:invertIfNegative val="0"/>
            <c:bubble3D val="0"/>
            <c:extLst xmlns:c16r2="http://schemas.microsoft.com/office/drawing/2015/06/chart">
              <c:ext xmlns:c16="http://schemas.microsoft.com/office/drawing/2014/chart" uri="{C3380CC4-5D6E-409C-BE32-E72D297353CC}">
                <c16:uniqueId val="{00000007-1605-43B9-925E-45C019BFAE2E}"/>
              </c:ext>
            </c:extLst>
          </c:dPt>
          <c:dPt>
            <c:idx val="4"/>
            <c:invertIfNegative val="0"/>
            <c:bubble3D val="0"/>
            <c:extLst xmlns:c16r2="http://schemas.microsoft.com/office/drawing/2015/06/chart">
              <c:ext xmlns:c16="http://schemas.microsoft.com/office/drawing/2014/chart" uri="{C3380CC4-5D6E-409C-BE32-E72D297353CC}">
                <c16:uniqueId val="{00000009-1605-43B9-925E-45C019BFAE2E}"/>
              </c:ext>
            </c:extLst>
          </c:dPt>
          <c:dPt>
            <c:idx val="5"/>
            <c:invertIfNegative val="0"/>
            <c:bubble3D val="0"/>
            <c:extLst xmlns:c16r2="http://schemas.microsoft.com/office/drawing/2015/06/chart">
              <c:ext xmlns:c16="http://schemas.microsoft.com/office/drawing/2014/chart" uri="{C3380CC4-5D6E-409C-BE32-E72D297353CC}">
                <c16:uniqueId val="{0000000B-1605-43B9-925E-45C019BFAE2E}"/>
              </c:ext>
            </c:extLst>
          </c:dPt>
          <c:dPt>
            <c:idx val="6"/>
            <c:invertIfNegative val="0"/>
            <c:bubble3D val="0"/>
            <c:extLst xmlns:c16r2="http://schemas.microsoft.com/office/drawing/2015/06/chart">
              <c:ext xmlns:c16="http://schemas.microsoft.com/office/drawing/2014/chart" uri="{C3380CC4-5D6E-409C-BE32-E72D297353CC}">
                <c16:uniqueId val="{0000000D-1605-43B9-925E-45C019BFAE2E}"/>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管理者用グラフシート!$O$50:$O$56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管理者用グラフシート!$P$50:$P$56</c:f>
              <c:numCache>
                <c:formatCode>0%</c:formatCode>
                <c:ptCount val="7"/>
                <c:pt idx="0">
                  <c:v>0.33</c:v>
                </c:pt>
                <c:pt idx="1">
                  <c:v>0.37</c:v>
                </c:pt>
                <c:pt idx="2">
                  <c:v>0.42</c:v>
                </c:pt>
                <c:pt idx="3">
                  <c:v>0.45</c:v>
                </c:pt>
                <c:pt idx="4">
                  <c:v>0.48</c:v>
                </c:pt>
                <c:pt idx="5">
                  <c:v>0.49</c:v>
                </c:pt>
                <c:pt idx="6">
                  <c:v>0.52</c:v>
                </c:pt>
              </c:numCache>
            </c:numRef>
          </c:val>
          <c:extLst xmlns:c16r2="http://schemas.microsoft.com/office/drawing/2015/06/chart">
            <c:ext xmlns:c16="http://schemas.microsoft.com/office/drawing/2014/chart" uri="{C3380CC4-5D6E-409C-BE32-E72D297353CC}">
              <c16:uniqueId val="{0000000E-1605-43B9-925E-45C019BFAE2E}"/>
            </c:ext>
          </c:extLst>
        </c:ser>
        <c:ser>
          <c:idx val="1"/>
          <c:order val="1"/>
          <c:tx>
            <c:strRef>
              <c:f>管理者用グラフシート!$Q$49</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4.6437689852907704E-3"/>
                  <c:y val="-8.0166067299819288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EBD9-4148-B21B-44D5CB379657}"/>
                </c:ext>
                <c:ext xmlns:c15="http://schemas.microsoft.com/office/drawing/2012/chart" uri="{CE6537A1-D6FC-4f65-9D91-7224C49458BB}"/>
              </c:extLst>
            </c:dLbl>
            <c:dLbl>
              <c:idx val="4"/>
              <c:layout>
                <c:manualLayout>
                  <c:x val="2.3218187170398938E-3"/>
                  <c:y val="-7.7049815146593328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EBD9-4148-B21B-44D5CB379657}"/>
                </c:ext>
                <c:ext xmlns:c15="http://schemas.microsoft.com/office/drawing/2012/chart" uri="{CE6537A1-D6FC-4f65-9D91-7224C49458BB}"/>
              </c:extLst>
            </c:dLbl>
            <c:dLbl>
              <c:idx val="5"/>
              <c:layout>
                <c:manualLayout>
                  <c:x val="6.9656244598342194E-3"/>
                  <c:y val="-8.4985149968198295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C-EBD9-4148-B21B-44D5CB379657}"/>
                </c:ext>
                <c:ext xmlns:c15="http://schemas.microsoft.com/office/drawing/2012/chart" uri="{CE6537A1-D6FC-4f65-9D91-7224C49458BB}"/>
              </c:extLst>
            </c:dLbl>
            <c:dLbl>
              <c:idx val="6"/>
              <c:layout>
                <c:manualLayout>
                  <c:x val="1.5037542100321082E-2"/>
                  <c:y val="-7.1318203384700851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EBD9-4148-B21B-44D5CB379657}"/>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管理者用グラフシート!$O$50:$O$56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管理者用グラフシート!$Q$50:$Q$56</c:f>
              <c:numCache>
                <c:formatCode>General</c:formatCode>
                <c:ptCount val="7"/>
                <c:pt idx="3" formatCode="0%">
                  <c:v>0.45</c:v>
                </c:pt>
                <c:pt idx="4" formatCode="0%">
                  <c:v>0.46</c:v>
                </c:pt>
                <c:pt idx="5" formatCode="0%">
                  <c:v>0.47</c:v>
                </c:pt>
                <c:pt idx="6" formatCode="0%">
                  <c:v>0.48</c:v>
                </c:pt>
              </c:numCache>
            </c:numRef>
          </c:val>
          <c:extLst xmlns:c16r2="http://schemas.microsoft.com/office/drawing/2015/06/chart">
            <c:ext xmlns:c16="http://schemas.microsoft.com/office/drawing/2014/chart" uri="{C3380CC4-5D6E-409C-BE32-E72D297353CC}">
              <c16:uniqueId val="{0000000F-1605-43B9-925E-45C019BFAE2E}"/>
            </c:ext>
          </c:extLst>
        </c:ser>
        <c:dLbls>
          <c:dLblPos val="outEnd"/>
          <c:showLegendKey val="0"/>
          <c:showVal val="1"/>
          <c:showCatName val="0"/>
          <c:showSerName val="0"/>
          <c:showPercent val="0"/>
          <c:showBubbleSize val="0"/>
        </c:dLbls>
        <c:gapWidth val="219"/>
        <c:overlap val="-27"/>
        <c:axId val="452507464"/>
        <c:axId val="452507072"/>
      </c:barChart>
      <c:catAx>
        <c:axId val="45250746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2507072"/>
        <c:crosses val="autoZero"/>
        <c:auto val="1"/>
        <c:lblAlgn val="ctr"/>
        <c:lblOffset val="100"/>
        <c:noMultiLvlLbl val="0"/>
      </c:catAx>
      <c:valAx>
        <c:axId val="452507072"/>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2507464"/>
        <c:crosses val="autoZero"/>
        <c:crossBetween val="between"/>
        <c:majorUnit val="0.2"/>
      </c:valAx>
      <c:spPr>
        <a:noFill/>
        <a:ln>
          <a:noFill/>
        </a:ln>
        <a:effectLst/>
      </c:spPr>
    </c:plotArea>
    <c:legend>
      <c:legendPos val="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管理者用グラフシート!$P$57</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F2A6-42E4-9C87-678F1C484C61}"/>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F2A6-42E4-9C87-678F1C484C61}"/>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F2A6-42E4-9C87-678F1C484C61}"/>
              </c:ext>
            </c:extLst>
          </c:dPt>
          <c:dPt>
            <c:idx val="3"/>
            <c:invertIfNegative val="0"/>
            <c:bubble3D val="0"/>
            <c:extLst xmlns:c16r2="http://schemas.microsoft.com/office/drawing/2015/06/chart">
              <c:ext xmlns:c16="http://schemas.microsoft.com/office/drawing/2014/chart" uri="{C3380CC4-5D6E-409C-BE32-E72D297353CC}">
                <c16:uniqueId val="{00000007-F2A6-42E4-9C87-678F1C484C61}"/>
              </c:ext>
            </c:extLst>
          </c:dPt>
          <c:dPt>
            <c:idx val="4"/>
            <c:invertIfNegative val="0"/>
            <c:bubble3D val="0"/>
            <c:extLst xmlns:c16r2="http://schemas.microsoft.com/office/drawing/2015/06/chart">
              <c:ext xmlns:c16="http://schemas.microsoft.com/office/drawing/2014/chart" uri="{C3380CC4-5D6E-409C-BE32-E72D297353CC}">
                <c16:uniqueId val="{00000009-F2A6-42E4-9C87-678F1C484C61}"/>
              </c:ext>
            </c:extLst>
          </c:dPt>
          <c:dPt>
            <c:idx val="5"/>
            <c:invertIfNegative val="0"/>
            <c:bubble3D val="0"/>
            <c:extLst xmlns:c16r2="http://schemas.microsoft.com/office/drawing/2015/06/chart">
              <c:ext xmlns:c16="http://schemas.microsoft.com/office/drawing/2014/chart" uri="{C3380CC4-5D6E-409C-BE32-E72D297353CC}">
                <c16:uniqueId val="{0000000B-F2A6-42E4-9C87-678F1C484C61}"/>
              </c:ext>
            </c:extLst>
          </c:dPt>
          <c:dPt>
            <c:idx val="6"/>
            <c:invertIfNegative val="0"/>
            <c:bubble3D val="0"/>
            <c:extLst xmlns:c16r2="http://schemas.microsoft.com/office/drawing/2015/06/chart">
              <c:ext xmlns:c16="http://schemas.microsoft.com/office/drawing/2014/chart" uri="{C3380CC4-5D6E-409C-BE32-E72D297353CC}">
                <c16:uniqueId val="{0000000D-F2A6-42E4-9C87-678F1C484C61}"/>
              </c:ext>
            </c:extLst>
          </c:dPt>
          <c:dLbls>
            <c:dLbl>
              <c:idx val="3"/>
              <c:layout>
                <c:manualLayout>
                  <c:x val="1.8776520193763725E-3"/>
                  <c:y val="4.528623081401356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F2A6-42E4-9C87-678F1C484C61}"/>
                </c:ext>
                <c:ext xmlns:c15="http://schemas.microsoft.com/office/drawing/2012/chart" uri="{CE6537A1-D6FC-4f65-9D91-7224C49458BB}"/>
              </c:extLst>
            </c:dLbl>
            <c:dLbl>
              <c:idx val="4"/>
              <c:layout>
                <c:manualLayout>
                  <c:x val="-2.1375206746217222E-3"/>
                  <c:y val="8.1106609091023511E-4"/>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F2A6-42E4-9C87-678F1C484C61}"/>
                </c:ext>
                <c:ext xmlns:c15="http://schemas.microsoft.com/office/drawing/2012/chart" uri="{CE6537A1-D6FC-4f65-9D91-7224C49458BB}"/>
              </c:extLst>
            </c:dLbl>
            <c:dLbl>
              <c:idx val="5"/>
              <c:layout>
                <c:manualLayout>
                  <c:x val="-6.152693368619816E-3"/>
                  <c:y val="7.9227488086460636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F2A6-42E4-9C87-678F1C484C61}"/>
                </c:ext>
                <c:ext xmlns:c15="http://schemas.microsoft.com/office/drawing/2012/chart" uri="{CE6537A1-D6FC-4f65-9D91-7224C49458BB}"/>
              </c:extLst>
            </c:dLbl>
            <c:dLbl>
              <c:idx val="6"/>
              <c:layout>
                <c:manualLayout>
                  <c:x val="-1.0557669045485935E-2"/>
                  <c:y val="1.4576359194273401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F2A6-42E4-9C87-678F1C484C6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管理者用グラフシート!$O$58:$O$64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管理者用グラフシート!$P$58:$P$64</c:f>
              <c:numCache>
                <c:formatCode>0%</c:formatCode>
                <c:ptCount val="7"/>
                <c:pt idx="0">
                  <c:v>0.17</c:v>
                </c:pt>
                <c:pt idx="1">
                  <c:v>0.19</c:v>
                </c:pt>
                <c:pt idx="2">
                  <c:v>0.22</c:v>
                </c:pt>
                <c:pt idx="3">
                  <c:v>0.25</c:v>
                </c:pt>
                <c:pt idx="4">
                  <c:v>0.28000000000000003</c:v>
                </c:pt>
                <c:pt idx="5">
                  <c:v>0.3</c:v>
                </c:pt>
                <c:pt idx="6">
                  <c:v>0.31</c:v>
                </c:pt>
              </c:numCache>
            </c:numRef>
          </c:val>
          <c:extLst xmlns:c16r2="http://schemas.microsoft.com/office/drawing/2015/06/chart">
            <c:ext xmlns:c16="http://schemas.microsoft.com/office/drawing/2014/chart" uri="{C3380CC4-5D6E-409C-BE32-E72D297353CC}">
              <c16:uniqueId val="{0000000E-F2A6-42E4-9C87-678F1C484C61}"/>
            </c:ext>
          </c:extLst>
        </c:ser>
        <c:ser>
          <c:idx val="1"/>
          <c:order val="1"/>
          <c:tx>
            <c:strRef>
              <c:f>管理者用グラフシート!$Q$57</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1.7100165396973777E-2"/>
                  <c:y val="-5.9476228680245317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33FB-45DD-9939-E603D0F85338}"/>
                </c:ext>
                <c:ext xmlns:c15="http://schemas.microsoft.com/office/drawing/2012/chart" uri="{CE6537A1-D6FC-4f65-9D91-7224C49458BB}"/>
              </c:extLst>
            </c:dLbl>
            <c:dLbl>
              <c:idx val="4"/>
              <c:layout>
                <c:manualLayout>
                  <c:x val="2.1375206746218002E-3"/>
                  <c:y val="-7.434528585030671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33FB-45DD-9939-E603D0F85338}"/>
                </c:ext>
                <c:ext xmlns:c15="http://schemas.microsoft.com/office/drawing/2012/chart" uri="{CE6537A1-D6FC-4f65-9D91-7224C49458BB}"/>
              </c:extLst>
            </c:dLbl>
            <c:dLbl>
              <c:idx val="5"/>
              <c:layout>
                <c:manualLayout>
                  <c:x val="4.8281037852124977E-3"/>
                  <c:y val="-8.2681348401429544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C-33FB-45DD-9939-E603D0F85338}"/>
                </c:ext>
                <c:ext xmlns:c15="http://schemas.microsoft.com/office/drawing/2012/chart" uri="{CE6537A1-D6FC-4f65-9D91-7224C49458BB}"/>
              </c:extLst>
            </c:dLbl>
            <c:dLbl>
              <c:idx val="6"/>
              <c:layout>
                <c:manualLayout>
                  <c:x val="1.3562652834832094E-2"/>
                  <c:y val="-8.6699214691101104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33FB-45DD-9939-E603D0F8533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管理者用グラフシート!$O$58:$O$64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管理者用グラフシート!$Q$58:$Q$64</c:f>
              <c:numCache>
                <c:formatCode>General</c:formatCode>
                <c:ptCount val="7"/>
                <c:pt idx="3" formatCode="0%">
                  <c:v>0.25</c:v>
                </c:pt>
                <c:pt idx="4" formatCode="0%">
                  <c:v>0.27</c:v>
                </c:pt>
                <c:pt idx="5" formatCode="0%">
                  <c:v>0.28999999999999998</c:v>
                </c:pt>
                <c:pt idx="6" formatCode="0%">
                  <c:v>0.28999999999999998</c:v>
                </c:pt>
              </c:numCache>
            </c:numRef>
          </c:val>
          <c:extLst xmlns:c16r2="http://schemas.microsoft.com/office/drawing/2015/06/chart">
            <c:ext xmlns:c16="http://schemas.microsoft.com/office/drawing/2014/chart" uri="{C3380CC4-5D6E-409C-BE32-E72D297353CC}">
              <c16:uniqueId val="{0000000F-F2A6-42E4-9C87-678F1C484C61}"/>
            </c:ext>
          </c:extLst>
        </c:ser>
        <c:dLbls>
          <c:showLegendKey val="0"/>
          <c:showVal val="0"/>
          <c:showCatName val="0"/>
          <c:showSerName val="0"/>
          <c:showPercent val="0"/>
          <c:showBubbleSize val="0"/>
        </c:dLbls>
        <c:gapWidth val="219"/>
        <c:overlap val="-27"/>
        <c:axId val="452505112"/>
        <c:axId val="452505504"/>
      </c:barChart>
      <c:catAx>
        <c:axId val="45250511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2505504"/>
        <c:crosses val="autoZero"/>
        <c:auto val="1"/>
        <c:lblAlgn val="ctr"/>
        <c:lblOffset val="100"/>
        <c:noMultiLvlLbl val="0"/>
      </c:catAx>
      <c:valAx>
        <c:axId val="45250550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2505112"/>
        <c:crosses val="autoZero"/>
        <c:crossBetween val="between"/>
        <c:majorUnit val="0.2"/>
      </c:valAx>
      <c:spPr>
        <a:noFill/>
        <a:ln>
          <a:noFill/>
        </a:ln>
        <a:effectLst/>
      </c:spPr>
    </c:plotArea>
    <c:legend>
      <c:legendPos val="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管理者用グラフシート!$P$21</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F516-4A78-80FA-3D127B1E77DC}"/>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F516-4A78-80FA-3D127B1E77DC}"/>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F516-4A78-80FA-3D127B1E77DC}"/>
              </c:ext>
            </c:extLst>
          </c:dPt>
          <c:dPt>
            <c:idx val="3"/>
            <c:invertIfNegative val="0"/>
            <c:bubble3D val="0"/>
            <c:extLst xmlns:c16r2="http://schemas.microsoft.com/office/drawing/2015/06/chart">
              <c:ext xmlns:c16="http://schemas.microsoft.com/office/drawing/2014/chart" uri="{C3380CC4-5D6E-409C-BE32-E72D297353CC}">
                <c16:uniqueId val="{00000007-F516-4A78-80FA-3D127B1E77DC}"/>
              </c:ext>
            </c:extLst>
          </c:dPt>
          <c:dPt>
            <c:idx val="4"/>
            <c:invertIfNegative val="0"/>
            <c:bubble3D val="0"/>
            <c:extLst xmlns:c16r2="http://schemas.microsoft.com/office/drawing/2015/06/chart">
              <c:ext xmlns:c16="http://schemas.microsoft.com/office/drawing/2014/chart" uri="{C3380CC4-5D6E-409C-BE32-E72D297353CC}">
                <c16:uniqueId val="{00000009-F516-4A78-80FA-3D127B1E77DC}"/>
              </c:ext>
            </c:extLst>
          </c:dPt>
          <c:dPt>
            <c:idx val="5"/>
            <c:invertIfNegative val="0"/>
            <c:bubble3D val="0"/>
            <c:extLst xmlns:c16r2="http://schemas.microsoft.com/office/drawing/2015/06/chart">
              <c:ext xmlns:c16="http://schemas.microsoft.com/office/drawing/2014/chart" uri="{C3380CC4-5D6E-409C-BE32-E72D297353CC}">
                <c16:uniqueId val="{0000000B-F516-4A78-80FA-3D127B1E77DC}"/>
              </c:ext>
            </c:extLst>
          </c:dPt>
          <c:dPt>
            <c:idx val="6"/>
            <c:invertIfNegative val="0"/>
            <c:bubble3D val="0"/>
            <c:extLst xmlns:c16r2="http://schemas.microsoft.com/office/drawing/2015/06/chart">
              <c:ext xmlns:c16="http://schemas.microsoft.com/office/drawing/2014/chart" uri="{C3380CC4-5D6E-409C-BE32-E72D297353CC}">
                <c16:uniqueId val="{0000000D-F516-4A78-80FA-3D127B1E77DC}"/>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管理者用グラフシート!$O$22:$O$28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管理者用グラフシート!$P$22:$P$28</c:f>
              <c:numCache>
                <c:formatCode>#,##0_);[Red]\(#,##0\)</c:formatCode>
                <c:ptCount val="7"/>
                <c:pt idx="0">
                  <c:v>23</c:v>
                </c:pt>
                <c:pt idx="1">
                  <c:v>14</c:v>
                </c:pt>
                <c:pt idx="2">
                  <c:v>16</c:v>
                </c:pt>
                <c:pt idx="3">
                  <c:v>17</c:v>
                </c:pt>
                <c:pt idx="4">
                  <c:v>15</c:v>
                </c:pt>
                <c:pt idx="5">
                  <c:v>12</c:v>
                </c:pt>
                <c:pt idx="6">
                  <c:v>10</c:v>
                </c:pt>
              </c:numCache>
            </c:numRef>
          </c:val>
          <c:extLst xmlns:c16r2="http://schemas.microsoft.com/office/drawing/2015/06/chart">
            <c:ext xmlns:c16="http://schemas.microsoft.com/office/drawing/2014/chart" uri="{C3380CC4-5D6E-409C-BE32-E72D297353CC}">
              <c16:uniqueId val="{0000000E-F516-4A78-80FA-3D127B1E77DC}"/>
            </c:ext>
          </c:extLst>
        </c:ser>
        <c:ser>
          <c:idx val="1"/>
          <c:order val="1"/>
          <c:tx>
            <c:strRef>
              <c:f>管理者用グラフシート!$Q$21</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1.8750556321900588E-2"/>
                  <c:y val="-2.7199815758726688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F-F516-4A78-80FA-3D127B1E77DC}"/>
                </c:ext>
                <c:ext xmlns:c15="http://schemas.microsoft.com/office/drawing/2012/chart" uri="{CE6537A1-D6FC-4f65-9D91-7224C49458BB}"/>
              </c:extLst>
            </c:dLbl>
            <c:dLbl>
              <c:idx val="4"/>
              <c:layout>
                <c:manualLayout>
                  <c:x val="1.2045537530868898E-2"/>
                  <c:y val="-1.9743869785411185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0-F516-4A78-80FA-3D127B1E77DC}"/>
                </c:ext>
                <c:ext xmlns:c15="http://schemas.microsoft.com/office/drawing/2012/chart" uri="{CE6537A1-D6FC-4f65-9D91-7224C49458BB}"/>
              </c:extLst>
            </c:dLbl>
            <c:dLbl>
              <c:idx val="5"/>
              <c:layout>
                <c:manualLayout>
                  <c:x val="1.0038062279582904E-2"/>
                  <c:y val="-1.1663169494349172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1-F516-4A78-80FA-3D127B1E77DC}"/>
                </c:ext>
                <c:ext xmlns:c15="http://schemas.microsoft.com/office/drawing/2012/chart" uri="{CE6537A1-D6FC-4f65-9D91-7224C49458BB}"/>
              </c:extLst>
            </c:dLbl>
            <c:dLbl>
              <c:idx val="6"/>
              <c:layout>
                <c:manualLayout>
                  <c:x val="4.0151220083602208E-3"/>
                  <c:y val="-2.3076165037496148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2-F516-4A78-80FA-3D127B1E77DC}"/>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管理者用グラフシート!$O$22:$O$28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管理者用グラフシート!$Q$22:$Q$28</c:f>
              <c:numCache>
                <c:formatCode>#,##0_);[Red]\(#,##0\)</c:formatCode>
                <c:ptCount val="7"/>
                <c:pt idx="3">
                  <c:v>18</c:v>
                </c:pt>
                <c:pt idx="4">
                  <c:v>16</c:v>
                </c:pt>
                <c:pt idx="5">
                  <c:v>14</c:v>
                </c:pt>
                <c:pt idx="6">
                  <c:v>13</c:v>
                </c:pt>
              </c:numCache>
            </c:numRef>
          </c:val>
          <c:extLst xmlns:c16r2="http://schemas.microsoft.com/office/drawing/2015/06/chart">
            <c:ext xmlns:c16="http://schemas.microsoft.com/office/drawing/2014/chart" uri="{C3380CC4-5D6E-409C-BE32-E72D297353CC}">
              <c16:uniqueId val="{00000013-F516-4A78-80FA-3D127B1E77DC}"/>
            </c:ext>
          </c:extLst>
        </c:ser>
        <c:dLbls>
          <c:showLegendKey val="0"/>
          <c:showVal val="0"/>
          <c:showCatName val="0"/>
          <c:showSerName val="0"/>
          <c:showPercent val="0"/>
          <c:showBubbleSize val="0"/>
        </c:dLbls>
        <c:gapWidth val="219"/>
        <c:overlap val="-27"/>
        <c:axId val="452509032"/>
        <c:axId val="452501976"/>
      </c:barChart>
      <c:catAx>
        <c:axId val="45250903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2501976"/>
        <c:crosses val="autoZero"/>
        <c:auto val="1"/>
        <c:lblAlgn val="ctr"/>
        <c:lblOffset val="100"/>
        <c:noMultiLvlLbl val="0"/>
      </c:catAx>
      <c:valAx>
        <c:axId val="452501976"/>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2509032"/>
        <c:crosses val="autoZero"/>
        <c:crossBetween val="between"/>
      </c:valAx>
      <c:spPr>
        <a:noFill/>
        <a:ln>
          <a:noFill/>
        </a:ln>
        <a:effectLst/>
      </c:spPr>
    </c:plotArea>
    <c:legend>
      <c:legendPos val="t"/>
      <c:layout>
        <c:manualLayout>
          <c:xMode val="edge"/>
          <c:yMode val="edge"/>
          <c:x val="0.1067062707832858"/>
          <c:y val="0.10164303579964741"/>
          <c:w val="0.77787479288532246"/>
          <c:h val="6.1832438441963455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管理者用グラフシート!$B$14:$B$16</c:f>
              <c:numCache>
                <c:formatCode>General</c:formatCode>
                <c:ptCount val="3"/>
                <c:pt idx="0">
                  <c:v>2010</c:v>
                </c:pt>
                <c:pt idx="1">
                  <c:v>2015</c:v>
                </c:pt>
                <c:pt idx="2">
                  <c:v>2020</c:v>
                </c:pt>
              </c:numCache>
            </c:numRef>
          </c:cat>
          <c:val>
            <c:numRef>
              <c:f>管理者用グラフシート!$C$14:$C$16</c:f>
              <c:numCache>
                <c:formatCode>#,##0_);[Red]\(#,##0\)</c:formatCode>
                <c:ptCount val="3"/>
                <c:pt idx="0">
                  <c:v>23</c:v>
                </c:pt>
                <c:pt idx="1">
                  <c:v>14</c:v>
                </c:pt>
                <c:pt idx="2">
                  <c:v>16</c:v>
                </c:pt>
              </c:numCache>
            </c:numRef>
          </c:val>
          <c:extLst xmlns:c16r2="http://schemas.microsoft.com/office/drawing/2015/06/chart">
            <c:ext xmlns:c16="http://schemas.microsoft.com/office/drawing/2014/chart" uri="{C3380CC4-5D6E-409C-BE32-E72D297353CC}">
              <c16:uniqueId val="{00000000-562B-4D2B-B1B8-50E3F9843D0B}"/>
            </c:ext>
          </c:extLst>
        </c:ser>
        <c:dLbls>
          <c:showLegendKey val="0"/>
          <c:showVal val="0"/>
          <c:showCatName val="0"/>
          <c:showSerName val="0"/>
          <c:showPercent val="0"/>
          <c:showBubbleSize val="0"/>
        </c:dLbls>
        <c:gapWidth val="219"/>
        <c:overlap val="-27"/>
        <c:axId val="388746384"/>
        <c:axId val="388745208"/>
      </c:barChart>
      <c:catAx>
        <c:axId val="38874638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8745208"/>
        <c:crosses val="autoZero"/>
        <c:auto val="1"/>
        <c:lblAlgn val="ctr"/>
        <c:lblOffset val="100"/>
        <c:noMultiLvlLbl val="0"/>
      </c:catAx>
      <c:valAx>
        <c:axId val="388745208"/>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8746384"/>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orientation="portrait"/>
  </c:printSettings>
  <c:userShapes r:id="rId3"/>
</c:chartSpace>
</file>

<file path=xl/charts/chart2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（移住受入を進めた場合）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8833837112960511"/>
          <c:y val="1.4914805583275589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管理者用グラフシート!$O$92</c:f>
              <c:strCache>
                <c:ptCount val="1"/>
                <c:pt idx="0">
                  <c:v>男性</c:v>
                </c:pt>
              </c:strCache>
            </c:strRef>
          </c:tx>
          <c:spPr>
            <a:solidFill>
              <a:srgbClr val="99FF99"/>
            </a:solidFill>
            <a:ln>
              <a:solidFill>
                <a:schemeClr val="tx1"/>
              </a:solidFill>
            </a:ln>
            <a:effectLst/>
          </c:spPr>
          <c:invertIfNegative val="0"/>
          <c:dLbls>
            <c:dLbl>
              <c:idx val="19"/>
              <c:layout>
                <c:manualLayout>
                  <c:x val="-3.8116176684263203E-2"/>
                  <c:y val="-1.6140603722124892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98D9-44C3-A2E2-878D848F4FCE}"/>
                </c:ext>
                <c:ext xmlns:c15="http://schemas.microsoft.com/office/drawing/2012/chart" uri="{CE6537A1-D6FC-4f65-9D91-7224C49458BB}"/>
              </c:extLst>
            </c:dLbl>
            <c:dLbl>
              <c:idx val="20"/>
              <c:layout>
                <c:manualLayout>
                  <c:x val="-3.6287845925881988E-2"/>
                  <c:y val="-3.228247835792869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98D9-44C3-A2E2-878D848F4FCE}"/>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管理者用グラフシート!$O$93:$O$113</c:f>
              <c:numCache>
                <c:formatCode>#,##0_);[Red]\(#,##0\)</c:formatCode>
                <c:ptCount val="21"/>
                <c:pt idx="0">
                  <c:v>7</c:v>
                </c:pt>
                <c:pt idx="1">
                  <c:v>8</c:v>
                </c:pt>
                <c:pt idx="2">
                  <c:v>11</c:v>
                </c:pt>
                <c:pt idx="3">
                  <c:v>13</c:v>
                </c:pt>
                <c:pt idx="4">
                  <c:v>7</c:v>
                </c:pt>
                <c:pt idx="5">
                  <c:v>5</c:v>
                </c:pt>
                <c:pt idx="6">
                  <c:v>3</c:v>
                </c:pt>
                <c:pt idx="7">
                  <c:v>5</c:v>
                </c:pt>
                <c:pt idx="8">
                  <c:v>5</c:v>
                </c:pt>
                <c:pt idx="9">
                  <c:v>22</c:v>
                </c:pt>
                <c:pt idx="10">
                  <c:v>14</c:v>
                </c:pt>
                <c:pt idx="11">
                  <c:v>20</c:v>
                </c:pt>
                <c:pt idx="12">
                  <c:v>20</c:v>
                </c:pt>
                <c:pt idx="13">
                  <c:v>24</c:v>
                </c:pt>
                <c:pt idx="14">
                  <c:v>26</c:v>
                </c:pt>
                <c:pt idx="15">
                  <c:v>26</c:v>
                </c:pt>
                <c:pt idx="16">
                  <c:v>25</c:v>
                </c:pt>
                <c:pt idx="17">
                  <c:v>11</c:v>
                </c:pt>
                <c:pt idx="18">
                  <c:v>5</c:v>
                </c:pt>
                <c:pt idx="19">
                  <c:v>0</c:v>
                </c:pt>
                <c:pt idx="20">
                  <c:v>0</c:v>
                </c:pt>
              </c:numCache>
            </c:numRef>
          </c:val>
          <c:extLst xmlns:c16r2="http://schemas.microsoft.com/office/drawing/2015/06/chart">
            <c:ext xmlns:c16="http://schemas.microsoft.com/office/drawing/2014/chart" uri="{C3380CC4-5D6E-409C-BE32-E72D297353CC}">
              <c16:uniqueId val="{00000002-5543-4B83-AD0E-4F6DD638786F}"/>
            </c:ext>
          </c:extLst>
        </c:ser>
        <c:dLbls>
          <c:showLegendKey val="0"/>
          <c:showVal val="0"/>
          <c:showCatName val="0"/>
          <c:showSerName val="0"/>
          <c:showPercent val="0"/>
          <c:showBubbleSize val="0"/>
        </c:dLbls>
        <c:gapWidth val="0"/>
        <c:axId val="453083240"/>
        <c:axId val="453084024"/>
      </c:barChart>
      <c:barChart>
        <c:barDir val="bar"/>
        <c:grouping val="clustered"/>
        <c:varyColors val="0"/>
        <c:ser>
          <c:idx val="1"/>
          <c:order val="1"/>
          <c:tx>
            <c:strRef>
              <c:f>管理者用グラフシート!$P$92</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管理者用グラフシート!$N$93:$N$113</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管理者用グラフシート!$P$93:$P$113</c:f>
              <c:numCache>
                <c:formatCode>#,##0_);[Red]\(#,##0\)</c:formatCode>
                <c:ptCount val="21"/>
                <c:pt idx="0">
                  <c:v>14</c:v>
                </c:pt>
                <c:pt idx="1">
                  <c:v>13</c:v>
                </c:pt>
                <c:pt idx="2">
                  <c:v>15</c:v>
                </c:pt>
                <c:pt idx="3">
                  <c:v>13</c:v>
                </c:pt>
                <c:pt idx="4">
                  <c:v>9</c:v>
                </c:pt>
                <c:pt idx="5">
                  <c:v>8</c:v>
                </c:pt>
                <c:pt idx="6">
                  <c:v>8</c:v>
                </c:pt>
                <c:pt idx="7">
                  <c:v>9</c:v>
                </c:pt>
                <c:pt idx="8">
                  <c:v>11</c:v>
                </c:pt>
                <c:pt idx="9">
                  <c:v>16</c:v>
                </c:pt>
                <c:pt idx="10">
                  <c:v>12</c:v>
                </c:pt>
                <c:pt idx="11">
                  <c:v>20</c:v>
                </c:pt>
                <c:pt idx="12">
                  <c:v>25</c:v>
                </c:pt>
                <c:pt idx="13">
                  <c:v>27</c:v>
                </c:pt>
                <c:pt idx="14">
                  <c:v>33</c:v>
                </c:pt>
                <c:pt idx="15">
                  <c:v>34</c:v>
                </c:pt>
                <c:pt idx="16">
                  <c:v>27</c:v>
                </c:pt>
                <c:pt idx="17">
                  <c:v>19</c:v>
                </c:pt>
                <c:pt idx="18">
                  <c:v>9</c:v>
                </c:pt>
                <c:pt idx="19">
                  <c:v>3</c:v>
                </c:pt>
                <c:pt idx="20">
                  <c:v>0</c:v>
                </c:pt>
              </c:numCache>
            </c:numRef>
          </c:val>
          <c:extLst xmlns:c16r2="http://schemas.microsoft.com/office/drawing/2015/06/chart">
            <c:ext xmlns:c16="http://schemas.microsoft.com/office/drawing/2014/chart" uri="{C3380CC4-5D6E-409C-BE32-E72D297353CC}">
              <c16:uniqueId val="{00000003-5543-4B83-AD0E-4F6DD638786F}"/>
            </c:ext>
          </c:extLst>
        </c:ser>
        <c:dLbls>
          <c:showLegendKey val="0"/>
          <c:showVal val="0"/>
          <c:showCatName val="0"/>
          <c:showSerName val="0"/>
          <c:showPercent val="0"/>
          <c:showBubbleSize val="0"/>
        </c:dLbls>
        <c:gapWidth val="0"/>
        <c:axId val="453086376"/>
        <c:axId val="453089120"/>
      </c:barChart>
      <c:catAx>
        <c:axId val="453083240"/>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3084024"/>
        <c:crosses val="autoZero"/>
        <c:auto val="1"/>
        <c:lblAlgn val="ctr"/>
        <c:lblOffset val="100"/>
        <c:noMultiLvlLbl val="0"/>
      </c:catAx>
      <c:valAx>
        <c:axId val="453084024"/>
        <c:scaling>
          <c:orientation val="maxMin"/>
          <c:max val="100"/>
          <c:min val="-1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3083240"/>
        <c:crosses val="autoZero"/>
        <c:crossBetween val="between"/>
        <c:majorUnit val="50"/>
      </c:valAx>
      <c:valAx>
        <c:axId val="453089120"/>
        <c:scaling>
          <c:orientation val="minMax"/>
          <c:max val="100"/>
          <c:min val="-1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3086376"/>
        <c:crosses val="max"/>
        <c:crossBetween val="between"/>
        <c:majorUnit val="50"/>
      </c:valAx>
      <c:catAx>
        <c:axId val="453086376"/>
        <c:scaling>
          <c:orientation val="minMax"/>
        </c:scaling>
        <c:delete val="1"/>
        <c:axPos val="l"/>
        <c:numFmt formatCode="General" sourceLinked="1"/>
        <c:majorTickMark val="out"/>
        <c:minorTickMark val="none"/>
        <c:tickLblPos val="nextTo"/>
        <c:crossAx val="453089120"/>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（移住受入を進めた場合）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726432567591831"/>
          <c:y val="1.6528865750354966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管理者用グラフシート!$O$140</c:f>
              <c:strCache>
                <c:ptCount val="1"/>
                <c:pt idx="0">
                  <c:v>男性</c:v>
                </c:pt>
              </c:strCache>
            </c:strRef>
          </c:tx>
          <c:spPr>
            <a:solidFill>
              <a:srgbClr val="99FF99"/>
            </a:solidFill>
            <a:ln>
              <a:solidFill>
                <a:schemeClr val="tx1"/>
              </a:solidFill>
            </a:ln>
            <a:effectLst/>
          </c:spPr>
          <c:invertIfNegative val="0"/>
          <c:dLbls>
            <c:dLbl>
              <c:idx val="19"/>
              <c:layout>
                <c:manualLayout>
                  <c:x val="-3.8116176684263203E-2"/>
                  <c:y val="-3.228119923892624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58F0-4D9D-BCFA-DFC009533B45}"/>
                </c:ext>
                <c:ext xmlns:c15="http://schemas.microsoft.com/office/drawing/2012/chart" uri="{CE6537A1-D6FC-4f65-9D91-7224C49458BB}"/>
              </c:extLst>
            </c:dLbl>
            <c:dLbl>
              <c:idx val="20"/>
              <c:layout>
                <c:manualLayout>
                  <c:x val="-3.8530181669624727E-2"/>
                  <c:y val="-3.228119923892624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58F0-4D9D-BCFA-DFC009533B45}"/>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管理者用グラフシート!$O$141:$O$161</c:f>
              <c:numCache>
                <c:formatCode>#,##0_);[Red]\(#,##0\)</c:formatCode>
                <c:ptCount val="21"/>
                <c:pt idx="0">
                  <c:v>7</c:v>
                </c:pt>
                <c:pt idx="1">
                  <c:v>8</c:v>
                </c:pt>
                <c:pt idx="2">
                  <c:v>10</c:v>
                </c:pt>
                <c:pt idx="3">
                  <c:v>7</c:v>
                </c:pt>
                <c:pt idx="4">
                  <c:v>4</c:v>
                </c:pt>
                <c:pt idx="5">
                  <c:v>6</c:v>
                </c:pt>
                <c:pt idx="6">
                  <c:v>4</c:v>
                </c:pt>
                <c:pt idx="7">
                  <c:v>3</c:v>
                </c:pt>
                <c:pt idx="8">
                  <c:v>5</c:v>
                </c:pt>
                <c:pt idx="9">
                  <c:v>7</c:v>
                </c:pt>
                <c:pt idx="10">
                  <c:v>4</c:v>
                </c:pt>
                <c:pt idx="11">
                  <c:v>18</c:v>
                </c:pt>
                <c:pt idx="12">
                  <c:v>13</c:v>
                </c:pt>
                <c:pt idx="13">
                  <c:v>22</c:v>
                </c:pt>
                <c:pt idx="14">
                  <c:v>19</c:v>
                </c:pt>
                <c:pt idx="15">
                  <c:v>20</c:v>
                </c:pt>
                <c:pt idx="16">
                  <c:v>18</c:v>
                </c:pt>
                <c:pt idx="17">
                  <c:v>13</c:v>
                </c:pt>
                <c:pt idx="18">
                  <c:v>6</c:v>
                </c:pt>
                <c:pt idx="19">
                  <c:v>0</c:v>
                </c:pt>
                <c:pt idx="20">
                  <c:v>0</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53085984"/>
        <c:axId val="453082848"/>
      </c:barChart>
      <c:barChart>
        <c:barDir val="bar"/>
        <c:grouping val="clustered"/>
        <c:varyColors val="0"/>
        <c:ser>
          <c:idx val="1"/>
          <c:order val="1"/>
          <c:tx>
            <c:strRef>
              <c:f>管理者用グラフシート!$P$140</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管理者用グラフシート!$N$141:$N$161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管理者用グラフシート!$P$141:$P$161</c:f>
              <c:numCache>
                <c:formatCode>#,##0_);[Red]\(#,##0\)</c:formatCode>
                <c:ptCount val="21"/>
                <c:pt idx="0">
                  <c:v>14</c:v>
                </c:pt>
                <c:pt idx="1">
                  <c:v>15</c:v>
                </c:pt>
                <c:pt idx="2">
                  <c:v>13</c:v>
                </c:pt>
                <c:pt idx="3">
                  <c:v>14</c:v>
                </c:pt>
                <c:pt idx="4">
                  <c:v>11</c:v>
                </c:pt>
                <c:pt idx="5">
                  <c:v>9</c:v>
                </c:pt>
                <c:pt idx="6">
                  <c:v>6</c:v>
                </c:pt>
                <c:pt idx="7">
                  <c:v>9</c:v>
                </c:pt>
                <c:pt idx="8">
                  <c:v>14</c:v>
                </c:pt>
                <c:pt idx="9">
                  <c:v>9</c:v>
                </c:pt>
                <c:pt idx="10">
                  <c:v>10</c:v>
                </c:pt>
                <c:pt idx="11">
                  <c:v>15</c:v>
                </c:pt>
                <c:pt idx="12">
                  <c:v>13</c:v>
                </c:pt>
                <c:pt idx="13">
                  <c:v>24</c:v>
                </c:pt>
                <c:pt idx="14">
                  <c:v>25</c:v>
                </c:pt>
                <c:pt idx="15">
                  <c:v>24</c:v>
                </c:pt>
                <c:pt idx="16">
                  <c:v>22</c:v>
                </c:pt>
                <c:pt idx="17">
                  <c:v>20</c:v>
                </c:pt>
                <c:pt idx="18">
                  <c:v>11</c:v>
                </c:pt>
                <c:pt idx="19">
                  <c:v>3</c:v>
                </c:pt>
                <c:pt idx="20">
                  <c:v>0</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53089512"/>
        <c:axId val="453088728"/>
      </c:barChart>
      <c:catAx>
        <c:axId val="453085984"/>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3082848"/>
        <c:crosses val="autoZero"/>
        <c:auto val="1"/>
        <c:lblAlgn val="ctr"/>
        <c:lblOffset val="100"/>
        <c:noMultiLvlLbl val="0"/>
      </c:catAx>
      <c:valAx>
        <c:axId val="453082848"/>
        <c:scaling>
          <c:orientation val="maxMin"/>
          <c:max val="100"/>
          <c:min val="-1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3085984"/>
        <c:crosses val="autoZero"/>
        <c:crossBetween val="between"/>
        <c:majorUnit val="50"/>
      </c:valAx>
      <c:valAx>
        <c:axId val="453088728"/>
        <c:scaling>
          <c:orientation val="minMax"/>
          <c:max val="100"/>
          <c:min val="-1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3089512"/>
        <c:crosses val="max"/>
        <c:crossBetween val="between"/>
        <c:majorUnit val="50"/>
      </c:valAx>
      <c:catAx>
        <c:axId val="453089512"/>
        <c:scaling>
          <c:orientation val="minMax"/>
        </c:scaling>
        <c:delete val="1"/>
        <c:axPos val="l"/>
        <c:numFmt formatCode="General" sourceLinked="1"/>
        <c:majorTickMark val="out"/>
        <c:minorTickMark val="none"/>
        <c:tickLblPos val="nextTo"/>
        <c:crossAx val="453088728"/>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（将来予測の比較）</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23222861194474598"/>
          <c:y val="1.6528819345733185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5876308426757449"/>
          <c:w val="0.89606648523193833"/>
          <c:h val="0.75414450900980234"/>
        </c:manualLayout>
      </c:layout>
      <c:barChart>
        <c:barDir val="bar"/>
        <c:grouping val="clustered"/>
        <c:varyColors val="0"/>
        <c:ser>
          <c:idx val="0"/>
          <c:order val="0"/>
          <c:tx>
            <c:strRef>
              <c:f>管理者用グラフシート!$O$213</c:f>
              <c:strCache>
                <c:ptCount val="1"/>
                <c:pt idx="0">
                  <c:v>これまでの傾向が続いた場合（男女計）</c:v>
                </c:pt>
              </c:strCache>
            </c:strRef>
          </c:tx>
          <c:spPr>
            <a:solidFill>
              <a:schemeClr val="accent5"/>
            </a:solidFill>
            <a:ln>
              <a:solidFill>
                <a:sysClr val="windowText" lastClr="000000"/>
              </a:solidFill>
            </a:ln>
            <a:effectLst/>
          </c:spPr>
          <c:invertIfNegative val="0"/>
          <c:dLbls>
            <c:dLbl>
              <c:idx val="19"/>
              <c:layout>
                <c:manualLayout>
                  <c:x val="4.9885064810676206E-7"/>
                  <c:y val="-1.6010922727126601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0645-45AA-92EF-55C85AAA61C3}"/>
                </c:ext>
                <c:ext xmlns:c15="http://schemas.microsoft.com/office/drawing/2012/chart" uri="{CE6537A1-D6FC-4f65-9D91-7224C49458BB}"/>
              </c:extLst>
            </c:dLbl>
            <c:dLbl>
              <c:idx val="20"/>
              <c:layout>
                <c:manualLayout>
                  <c:x val="-3.5900285741651237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0645-45AA-92EF-55C85AAA61C3}"/>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管理者用グラフシート!$O$214:$O$234</c:f>
              <c:numCache>
                <c:formatCode>#,##0_);[Red]\(#,##0\)</c:formatCode>
                <c:ptCount val="21"/>
                <c:pt idx="0">
                  <c:v>16</c:v>
                </c:pt>
                <c:pt idx="1">
                  <c:v>18</c:v>
                </c:pt>
                <c:pt idx="2">
                  <c:v>24</c:v>
                </c:pt>
                <c:pt idx="3">
                  <c:v>24</c:v>
                </c:pt>
                <c:pt idx="4">
                  <c:v>16</c:v>
                </c:pt>
                <c:pt idx="5">
                  <c:v>9</c:v>
                </c:pt>
                <c:pt idx="6">
                  <c:v>9</c:v>
                </c:pt>
                <c:pt idx="7">
                  <c:v>14</c:v>
                </c:pt>
                <c:pt idx="8">
                  <c:v>15</c:v>
                </c:pt>
                <c:pt idx="9">
                  <c:v>37</c:v>
                </c:pt>
                <c:pt idx="10">
                  <c:v>26</c:v>
                </c:pt>
                <c:pt idx="11">
                  <c:v>40</c:v>
                </c:pt>
                <c:pt idx="12">
                  <c:v>45</c:v>
                </c:pt>
                <c:pt idx="13">
                  <c:v>51</c:v>
                </c:pt>
                <c:pt idx="14">
                  <c:v>59</c:v>
                </c:pt>
                <c:pt idx="15">
                  <c:v>60</c:v>
                </c:pt>
                <c:pt idx="16">
                  <c:v>52</c:v>
                </c:pt>
                <c:pt idx="17">
                  <c:v>30</c:v>
                </c:pt>
                <c:pt idx="18">
                  <c:v>14</c:v>
                </c:pt>
                <c:pt idx="19">
                  <c:v>3</c:v>
                </c:pt>
                <c:pt idx="20">
                  <c:v>0</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53084416"/>
        <c:axId val="453084808"/>
      </c:barChart>
      <c:barChart>
        <c:barDir val="bar"/>
        <c:grouping val="clustered"/>
        <c:varyColors val="0"/>
        <c:ser>
          <c:idx val="1"/>
          <c:order val="1"/>
          <c:tx>
            <c:strRef>
              <c:f>管理者用グラフシート!$P$213</c:f>
              <c:strCache>
                <c:ptCount val="1"/>
                <c:pt idx="0">
                  <c:v>移住受入を進めた場合（男女計）</c:v>
                </c:pt>
              </c:strCache>
            </c:strRef>
          </c:tx>
          <c:spPr>
            <a:pattFill prst="pct25">
              <a:fgClr>
                <a:srgbClr val="FF0000"/>
              </a:fgClr>
              <a:bgClr>
                <a:schemeClr val="bg1"/>
              </a:bgClr>
            </a:patt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管理者用グラフシート!$N$214:$N$234</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管理者用グラフシート!$P$214:$P$234</c:f>
              <c:numCache>
                <c:formatCode>#,##0_);[Red]\(#,##0\)</c:formatCode>
                <c:ptCount val="21"/>
                <c:pt idx="0">
                  <c:v>21</c:v>
                </c:pt>
                <c:pt idx="1">
                  <c:v>21</c:v>
                </c:pt>
                <c:pt idx="2">
                  <c:v>26</c:v>
                </c:pt>
                <c:pt idx="3">
                  <c:v>26</c:v>
                </c:pt>
                <c:pt idx="4">
                  <c:v>16</c:v>
                </c:pt>
                <c:pt idx="5">
                  <c:v>13</c:v>
                </c:pt>
                <c:pt idx="6">
                  <c:v>11</c:v>
                </c:pt>
                <c:pt idx="7">
                  <c:v>14</c:v>
                </c:pt>
                <c:pt idx="8">
                  <c:v>16</c:v>
                </c:pt>
                <c:pt idx="9">
                  <c:v>38</c:v>
                </c:pt>
                <c:pt idx="10">
                  <c:v>26</c:v>
                </c:pt>
                <c:pt idx="11">
                  <c:v>40</c:v>
                </c:pt>
                <c:pt idx="12">
                  <c:v>45</c:v>
                </c:pt>
                <c:pt idx="13">
                  <c:v>51</c:v>
                </c:pt>
                <c:pt idx="14">
                  <c:v>59</c:v>
                </c:pt>
                <c:pt idx="15">
                  <c:v>60</c:v>
                </c:pt>
                <c:pt idx="16">
                  <c:v>52</c:v>
                </c:pt>
                <c:pt idx="17">
                  <c:v>30</c:v>
                </c:pt>
                <c:pt idx="18">
                  <c:v>14</c:v>
                </c:pt>
                <c:pt idx="19">
                  <c:v>3</c:v>
                </c:pt>
                <c:pt idx="20">
                  <c:v>0</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53085592"/>
        <c:axId val="453085200"/>
      </c:barChart>
      <c:catAx>
        <c:axId val="453084416"/>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3084808"/>
        <c:crosses val="autoZero"/>
        <c:auto val="1"/>
        <c:lblAlgn val="ctr"/>
        <c:lblOffset val="100"/>
        <c:noMultiLvlLbl val="0"/>
      </c:catAx>
      <c:valAx>
        <c:axId val="453084808"/>
        <c:scaling>
          <c:orientation val="maxMin"/>
          <c:max val="200"/>
          <c:min val="-3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3084416"/>
        <c:crosses val="autoZero"/>
        <c:crossBetween val="between"/>
        <c:majorUnit val="100"/>
      </c:valAx>
      <c:valAx>
        <c:axId val="453085200"/>
        <c:scaling>
          <c:orientation val="minMax"/>
          <c:max val="200"/>
          <c:min val="-3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3085592"/>
        <c:crosses val="max"/>
        <c:crossBetween val="between"/>
        <c:majorUnit val="100"/>
      </c:valAx>
      <c:catAx>
        <c:axId val="453085592"/>
        <c:scaling>
          <c:orientation val="minMax"/>
        </c:scaling>
        <c:delete val="1"/>
        <c:axPos val="l"/>
        <c:numFmt formatCode="General" sourceLinked="1"/>
        <c:majorTickMark val="out"/>
        <c:minorTickMark val="none"/>
        <c:tickLblPos val="nextTo"/>
        <c:crossAx val="453085200"/>
        <c:crosses val="autoZero"/>
        <c:auto val="1"/>
        <c:lblAlgn val="ctr"/>
        <c:lblOffset val="100"/>
        <c:noMultiLvlLbl val="0"/>
      </c:catAx>
      <c:spPr>
        <a:noFill/>
        <a:ln>
          <a:noFill/>
        </a:ln>
        <a:effectLst/>
      </c:spPr>
    </c:plotArea>
    <c:legend>
      <c:legendPos val="t"/>
      <c:layout>
        <c:manualLayout>
          <c:xMode val="edge"/>
          <c:yMode val="edge"/>
          <c:x val="5.2419200448037134E-2"/>
          <c:y val="7.2555809903934579E-2"/>
          <c:w val="0.89999990475401292"/>
          <c:h val="2.7158667736234213E-2"/>
        </c:manualLayout>
      </c:layout>
      <c:overlay val="0"/>
      <c:spPr>
        <a:noFill/>
        <a:ln>
          <a:noFill/>
        </a:ln>
        <a:effectLst/>
      </c:spPr>
      <c:txPr>
        <a:bodyPr rot="0" spcFirstLastPara="1" vertOverflow="ellipsis" vert="horz" wrap="square" anchor="ctr" anchorCtr="1"/>
        <a:lstStyle/>
        <a:p>
          <a:pPr>
            <a:defRPr sz="105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（将来予測の比較）</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22751600773669189"/>
          <c:y val="1.6528808454932351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5876308426757449"/>
          <c:w val="0.89606648523193833"/>
          <c:h val="0.75414450900980234"/>
        </c:manualLayout>
      </c:layout>
      <c:barChart>
        <c:barDir val="bar"/>
        <c:grouping val="clustered"/>
        <c:varyColors val="0"/>
        <c:ser>
          <c:idx val="0"/>
          <c:order val="0"/>
          <c:tx>
            <c:strRef>
              <c:f>管理者用グラフシート!$O$237</c:f>
              <c:strCache>
                <c:ptCount val="1"/>
                <c:pt idx="0">
                  <c:v>これまでの傾向が続いた場合（男女計）</c:v>
                </c:pt>
              </c:strCache>
            </c:strRef>
          </c:tx>
          <c:spPr>
            <a:solidFill>
              <a:schemeClr val="accent5"/>
            </a:solidFill>
            <a:ln>
              <a:solidFill>
                <a:schemeClr val="tx1"/>
              </a:solidFill>
            </a:ln>
            <a:effectLst/>
          </c:spPr>
          <c:invertIfNegative val="0"/>
          <c:dLbls>
            <c:dLbl>
              <c:idx val="19"/>
              <c:layout>
                <c:manualLayout>
                  <c:x val="-2.1099917757349783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AD67-49E7-B46B-354D01F338F5}"/>
                </c:ext>
                <c:ext xmlns:c15="http://schemas.microsoft.com/office/drawing/2012/chart" uri="{CE6537A1-D6FC-4f65-9D91-7224C49458BB}"/>
              </c:extLst>
            </c:dLbl>
            <c:dLbl>
              <c:idx val="20"/>
              <c:layout>
                <c:manualLayout>
                  <c:x val="-3.7988493340904511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AD67-49E7-B46B-354D01F338F5}"/>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管理者用グラフシート!$O$238:$O$258</c:f>
              <c:numCache>
                <c:formatCode>#,##0_);[Red]\(#,##0\)</c:formatCode>
                <c:ptCount val="21"/>
                <c:pt idx="0">
                  <c:v>15</c:v>
                </c:pt>
                <c:pt idx="1">
                  <c:v>17</c:v>
                </c:pt>
                <c:pt idx="2">
                  <c:v>17</c:v>
                </c:pt>
                <c:pt idx="3">
                  <c:v>17</c:v>
                </c:pt>
                <c:pt idx="4">
                  <c:v>14</c:v>
                </c:pt>
                <c:pt idx="5">
                  <c:v>10</c:v>
                </c:pt>
                <c:pt idx="6">
                  <c:v>8</c:v>
                </c:pt>
                <c:pt idx="7">
                  <c:v>9</c:v>
                </c:pt>
                <c:pt idx="8">
                  <c:v>14</c:v>
                </c:pt>
                <c:pt idx="9">
                  <c:v>16</c:v>
                </c:pt>
                <c:pt idx="10">
                  <c:v>13</c:v>
                </c:pt>
                <c:pt idx="11">
                  <c:v>32</c:v>
                </c:pt>
                <c:pt idx="12">
                  <c:v>26</c:v>
                </c:pt>
                <c:pt idx="13">
                  <c:v>46</c:v>
                </c:pt>
                <c:pt idx="14">
                  <c:v>44</c:v>
                </c:pt>
                <c:pt idx="15">
                  <c:v>44</c:v>
                </c:pt>
                <c:pt idx="16">
                  <c:v>40</c:v>
                </c:pt>
                <c:pt idx="17">
                  <c:v>33</c:v>
                </c:pt>
                <c:pt idx="18">
                  <c:v>17</c:v>
                </c:pt>
                <c:pt idx="19">
                  <c:v>3</c:v>
                </c:pt>
                <c:pt idx="20">
                  <c:v>0</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53087160"/>
        <c:axId val="453087552"/>
      </c:barChart>
      <c:barChart>
        <c:barDir val="bar"/>
        <c:grouping val="clustered"/>
        <c:varyColors val="0"/>
        <c:ser>
          <c:idx val="1"/>
          <c:order val="1"/>
          <c:tx>
            <c:strRef>
              <c:f>管理者用グラフシート!$P$237</c:f>
              <c:strCache>
                <c:ptCount val="1"/>
                <c:pt idx="0">
                  <c:v>移住受入を進めた場合（男女計）</c:v>
                </c:pt>
              </c:strCache>
            </c:strRef>
          </c:tx>
          <c:spPr>
            <a:pattFill prst="pct25">
              <a:fgClr>
                <a:srgbClr val="FF0000"/>
              </a:fgClr>
              <a:bgClr>
                <a:schemeClr val="bg1"/>
              </a:bgClr>
            </a:patt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管理者用グラフシート!$N$238:$N$258</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管理者用グラフシート!$P$238:$P$258</c:f>
              <c:numCache>
                <c:formatCode>#,##0_);[Red]\(#,##0\)</c:formatCode>
                <c:ptCount val="21"/>
                <c:pt idx="0">
                  <c:v>21</c:v>
                </c:pt>
                <c:pt idx="1">
                  <c:v>23</c:v>
                </c:pt>
                <c:pt idx="2">
                  <c:v>23</c:v>
                </c:pt>
                <c:pt idx="3">
                  <c:v>21</c:v>
                </c:pt>
                <c:pt idx="4">
                  <c:v>15</c:v>
                </c:pt>
                <c:pt idx="5">
                  <c:v>15</c:v>
                </c:pt>
                <c:pt idx="6">
                  <c:v>10</c:v>
                </c:pt>
                <c:pt idx="7">
                  <c:v>12</c:v>
                </c:pt>
                <c:pt idx="8">
                  <c:v>19</c:v>
                </c:pt>
                <c:pt idx="9">
                  <c:v>16</c:v>
                </c:pt>
                <c:pt idx="10">
                  <c:v>14</c:v>
                </c:pt>
                <c:pt idx="11">
                  <c:v>33</c:v>
                </c:pt>
                <c:pt idx="12">
                  <c:v>26</c:v>
                </c:pt>
                <c:pt idx="13">
                  <c:v>46</c:v>
                </c:pt>
                <c:pt idx="14">
                  <c:v>44</c:v>
                </c:pt>
                <c:pt idx="15">
                  <c:v>44</c:v>
                </c:pt>
                <c:pt idx="16">
                  <c:v>40</c:v>
                </c:pt>
                <c:pt idx="17">
                  <c:v>33</c:v>
                </c:pt>
                <c:pt idx="18">
                  <c:v>17</c:v>
                </c:pt>
                <c:pt idx="19">
                  <c:v>3</c:v>
                </c:pt>
                <c:pt idx="20">
                  <c:v>0</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53088336"/>
        <c:axId val="453087944"/>
      </c:barChart>
      <c:catAx>
        <c:axId val="453087160"/>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3087552"/>
        <c:crosses val="autoZero"/>
        <c:auto val="1"/>
        <c:lblAlgn val="ctr"/>
        <c:lblOffset val="100"/>
        <c:noMultiLvlLbl val="0"/>
      </c:catAx>
      <c:valAx>
        <c:axId val="453087552"/>
        <c:scaling>
          <c:orientation val="maxMin"/>
          <c:max val="200"/>
          <c:min val="-3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3087160"/>
        <c:crosses val="autoZero"/>
        <c:crossBetween val="between"/>
        <c:majorUnit val="100"/>
      </c:valAx>
      <c:valAx>
        <c:axId val="453087944"/>
        <c:scaling>
          <c:orientation val="minMax"/>
          <c:max val="200"/>
          <c:min val="-3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3088336"/>
        <c:crosses val="max"/>
        <c:crossBetween val="between"/>
        <c:majorUnit val="100"/>
      </c:valAx>
      <c:catAx>
        <c:axId val="453088336"/>
        <c:scaling>
          <c:orientation val="minMax"/>
        </c:scaling>
        <c:delete val="1"/>
        <c:axPos val="l"/>
        <c:numFmt formatCode="General" sourceLinked="1"/>
        <c:majorTickMark val="out"/>
        <c:minorTickMark val="none"/>
        <c:tickLblPos val="nextTo"/>
        <c:crossAx val="453087944"/>
        <c:crosses val="autoZero"/>
        <c:auto val="1"/>
        <c:lblAlgn val="ctr"/>
        <c:lblOffset val="100"/>
        <c:noMultiLvlLbl val="0"/>
      </c:catAx>
      <c:spPr>
        <a:noFill/>
        <a:ln>
          <a:noFill/>
        </a:ln>
        <a:effectLst/>
      </c:spPr>
    </c:plotArea>
    <c:legend>
      <c:legendPos val="t"/>
      <c:layout>
        <c:manualLayout>
          <c:xMode val="edge"/>
          <c:yMode val="edge"/>
          <c:x val="4.9999952377006489E-2"/>
          <c:y val="7.2555809903934579E-2"/>
          <c:w val="0.89999990475401292"/>
          <c:h val="2.715866773623421E-2"/>
        </c:manualLayout>
      </c:layout>
      <c:overlay val="0"/>
      <c:spPr>
        <a:noFill/>
        <a:ln>
          <a:noFill/>
        </a:ln>
        <a:effectLst/>
      </c:spPr>
      <c:txPr>
        <a:bodyPr rot="0" spcFirstLastPara="1" vertOverflow="ellipsis" vert="horz" wrap="square" anchor="ctr" anchorCtr="1"/>
        <a:lstStyle/>
        <a:p>
          <a:pPr>
            <a:defRPr sz="105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世帯内に</a:t>
            </a:r>
            <a:r>
              <a:rPr lang="en-US" altLang="ja-JP"/>
              <a:t>65</a:t>
            </a:r>
            <a:r>
              <a:rPr lang="ja-JP" altLang="en-US"/>
              <a:t>歳以上がいる世帯の割合</a:t>
            </a:r>
            <a:endParaRPr lang="ja-JP"/>
          </a:p>
        </c:rich>
      </c:tx>
      <c:layout/>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B2C-4FCB-A8A2-2D0503C205D6}"/>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B2C-4FCB-A8A2-2D0503C205D6}"/>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B2C-4FCB-A8A2-2D0503C205D6}"/>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綾町平均</c:v>
                </c:pt>
                <c:pt idx="2">
                  <c:v>中堂四枝上畑地域</c:v>
                </c:pt>
              </c:strCache>
            </c:strRef>
          </c:cat>
          <c:val>
            <c:numRef>
              <c:f>管理者用地域特徴シート!$H$3:$H$5</c:f>
              <c:numCache>
                <c:formatCode>0.0%</c:formatCode>
                <c:ptCount val="3"/>
                <c:pt idx="0">
                  <c:v>0.46108733927332846</c:v>
                </c:pt>
                <c:pt idx="1">
                  <c:v>0.56225885654156438</c:v>
                </c:pt>
                <c:pt idx="2">
                  <c:v>0.66225165562913912</c:v>
                </c:pt>
              </c:numCache>
            </c:numRef>
          </c:val>
          <c:extLst xmlns:c16r2="http://schemas.microsoft.com/office/drawing/2015/06/chart">
            <c:ext xmlns:c16="http://schemas.microsoft.com/office/drawing/2014/chart" uri="{C3380CC4-5D6E-409C-BE32-E72D297353CC}">
              <c16:uniqueId val="{00000006-BB2C-4FCB-A8A2-2D0503C205D6}"/>
            </c:ext>
          </c:extLst>
        </c:ser>
        <c:dLbls>
          <c:showLegendKey val="0"/>
          <c:showVal val="0"/>
          <c:showCatName val="0"/>
          <c:showSerName val="0"/>
          <c:showPercent val="0"/>
          <c:showBubbleSize val="0"/>
        </c:dLbls>
        <c:gapWidth val="182"/>
        <c:axId val="452664064"/>
        <c:axId val="452663672"/>
      </c:barChart>
      <c:catAx>
        <c:axId val="452664064"/>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2663672"/>
        <c:crosses val="autoZero"/>
        <c:auto val="1"/>
        <c:lblAlgn val="ctr"/>
        <c:lblOffset val="100"/>
        <c:noMultiLvlLbl val="0"/>
      </c:catAx>
      <c:valAx>
        <c:axId val="452663672"/>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2664064"/>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en-US" altLang="ja-JP"/>
              <a:t>65</a:t>
            </a:r>
            <a:r>
              <a:rPr lang="ja-JP" altLang="en-US"/>
              <a:t>歳以上の一人暮らし世帯の割合</a:t>
            </a:r>
            <a:endParaRPr lang="ja-JP"/>
          </a:p>
        </c:rich>
      </c:tx>
      <c:layout/>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solidFill>
                <a:schemeClr val="tx1"/>
              </a:solid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4103-49E7-90FF-91FBAD9021A0}"/>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4103-49E7-90FF-91FBAD9021A0}"/>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4103-49E7-90FF-91FBAD9021A0}"/>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綾町平均</c:v>
                </c:pt>
                <c:pt idx="2">
                  <c:v>中堂四枝上畑地域</c:v>
                </c:pt>
              </c:strCache>
            </c:strRef>
          </c:cat>
          <c:val>
            <c:numRef>
              <c:f>管理者用地域特徴シート!$J$3:$J$5</c:f>
              <c:numCache>
                <c:formatCode>0.0%</c:formatCode>
                <c:ptCount val="3"/>
                <c:pt idx="0">
                  <c:v>0.15075281438403673</c:v>
                </c:pt>
                <c:pt idx="1">
                  <c:v>0.16906348649596634</c:v>
                </c:pt>
                <c:pt idx="2">
                  <c:v>0.2251655629139073</c:v>
                </c:pt>
              </c:numCache>
            </c:numRef>
          </c:val>
          <c:extLst xmlns:c16r2="http://schemas.microsoft.com/office/drawing/2015/06/chart">
            <c:ext xmlns:c16="http://schemas.microsoft.com/office/drawing/2014/chart" uri="{C3380CC4-5D6E-409C-BE32-E72D297353CC}">
              <c16:uniqueId val="{00000006-4103-49E7-90FF-91FBAD9021A0}"/>
            </c:ext>
          </c:extLst>
        </c:ser>
        <c:dLbls>
          <c:showLegendKey val="0"/>
          <c:showVal val="0"/>
          <c:showCatName val="0"/>
          <c:showSerName val="0"/>
          <c:showPercent val="0"/>
          <c:showBubbleSize val="0"/>
        </c:dLbls>
        <c:gapWidth val="182"/>
        <c:axId val="452667592"/>
        <c:axId val="452661320"/>
      </c:barChart>
      <c:catAx>
        <c:axId val="452667592"/>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2661320"/>
        <c:crosses val="autoZero"/>
        <c:auto val="1"/>
        <c:lblAlgn val="ctr"/>
        <c:lblOffset val="100"/>
        <c:noMultiLvlLbl val="0"/>
      </c:catAx>
      <c:valAx>
        <c:axId val="452661320"/>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2667592"/>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居住期間が</a:t>
            </a:r>
            <a:r>
              <a:rPr lang="en-US" altLang="ja-JP"/>
              <a:t>10</a:t>
            </a:r>
            <a:r>
              <a:rPr lang="ja-JP" altLang="en-US"/>
              <a:t>年未満の居住者の割合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5A8E-46B1-9418-B0E310002619}"/>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5A8E-46B1-9418-B0E310002619}"/>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5A8E-46B1-9418-B0E310002619}"/>
              </c:ext>
            </c:extLst>
          </c:dPt>
          <c:dLbls>
            <c:dLbl>
              <c:idx val="0"/>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5A8E-46B1-9418-B0E310002619}"/>
                </c:ext>
                <c:ext xmlns:c15="http://schemas.microsoft.com/office/drawing/2012/chart" uri="{CE6537A1-D6FC-4f65-9D91-7224C49458BB}"/>
              </c:extLst>
            </c:dLbl>
            <c:dLbl>
              <c:idx val="1"/>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5A8E-46B1-9418-B0E310002619}"/>
                </c:ext>
                <c:ext xmlns:c15="http://schemas.microsoft.com/office/drawing/2012/chart" uri="{CE6537A1-D6FC-4f65-9D91-7224C49458BB}"/>
              </c:extLst>
            </c:dLbl>
            <c:dLbl>
              <c:idx val="2"/>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5A8E-46B1-9418-B0E310002619}"/>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0"/>
            <c:showCatName val="0"/>
            <c:showSerName val="0"/>
            <c:showPercent val="0"/>
            <c:showBubbleSize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綾町平均</c:v>
                </c:pt>
                <c:pt idx="2">
                  <c:v>中堂四枝上畑地域</c:v>
                </c:pt>
              </c:strCache>
            </c:strRef>
          </c:cat>
          <c:val>
            <c:numRef>
              <c:f>管理者用地域特徴シート!$P$3:$P$5</c:f>
              <c:numCache>
                <c:formatCode>0.0%</c:formatCode>
                <c:ptCount val="3"/>
                <c:pt idx="0">
                  <c:v>0.34758352842621743</c:v>
                </c:pt>
                <c:pt idx="1">
                  <c:v>0.32174790885491777</c:v>
                </c:pt>
                <c:pt idx="2">
                  <c:v>0.21839080459770116</c:v>
                </c:pt>
              </c:numCache>
            </c:numRef>
          </c:val>
          <c:extLst xmlns:c16r2="http://schemas.microsoft.com/office/drawing/2015/06/chart">
            <c:ext xmlns:c16="http://schemas.microsoft.com/office/drawing/2014/chart" uri="{C3380CC4-5D6E-409C-BE32-E72D297353CC}">
              <c16:uniqueId val="{00000006-5A8E-46B1-9418-B0E310002619}"/>
            </c:ext>
          </c:extLst>
        </c:ser>
        <c:dLbls>
          <c:showLegendKey val="0"/>
          <c:showVal val="0"/>
          <c:showCatName val="0"/>
          <c:showSerName val="0"/>
          <c:showPercent val="0"/>
          <c:showBubbleSize val="0"/>
        </c:dLbls>
        <c:gapWidth val="182"/>
        <c:axId val="452660928"/>
        <c:axId val="452662104"/>
      </c:barChart>
      <c:catAx>
        <c:axId val="452660928"/>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2662104"/>
        <c:crosses val="autoZero"/>
        <c:auto val="1"/>
        <c:lblAlgn val="ctr"/>
        <c:lblOffset val="100"/>
        <c:noMultiLvlLbl val="0"/>
      </c:catAx>
      <c:valAx>
        <c:axId val="452662104"/>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266092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転入者における女性の割合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solidFill>
                <a:schemeClr val="tx1"/>
              </a:solid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1E8-4C46-AFF6-BC0831825C5B}"/>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1E8-4C46-AFF6-BC0831825C5B}"/>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1E8-4C46-AFF6-BC0831825C5B}"/>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綾町平均</c:v>
                </c:pt>
                <c:pt idx="2">
                  <c:v>中堂四枝上畑地域</c:v>
                </c:pt>
              </c:strCache>
            </c:strRef>
          </c:cat>
          <c:val>
            <c:numRef>
              <c:f>管理者用地域特徴シート!$AO$3:$AO$5</c:f>
              <c:numCache>
                <c:formatCode>0.0%</c:formatCode>
                <c:ptCount val="3"/>
                <c:pt idx="0">
                  <c:v>0.5259093009439566</c:v>
                </c:pt>
                <c:pt idx="1">
                  <c:v>0.51929260450160775</c:v>
                </c:pt>
                <c:pt idx="2">
                  <c:v>0.48148148148148145</c:v>
                </c:pt>
              </c:numCache>
            </c:numRef>
          </c:val>
          <c:extLst xmlns:c16r2="http://schemas.microsoft.com/office/drawing/2015/06/chart">
            <c:ext xmlns:c16="http://schemas.microsoft.com/office/drawing/2014/chart" uri="{C3380CC4-5D6E-409C-BE32-E72D297353CC}">
              <c16:uniqueId val="{00000006-B1E8-4C46-AFF6-BC0831825C5B}"/>
            </c:ext>
          </c:extLst>
        </c:ser>
        <c:dLbls>
          <c:showLegendKey val="0"/>
          <c:showVal val="0"/>
          <c:showCatName val="0"/>
          <c:showSerName val="0"/>
          <c:showPercent val="0"/>
          <c:showBubbleSize val="0"/>
        </c:dLbls>
        <c:gapWidth val="182"/>
        <c:axId val="452662888"/>
        <c:axId val="452665632"/>
      </c:barChart>
      <c:catAx>
        <c:axId val="452662888"/>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2665632"/>
        <c:crosses val="autoZero"/>
        <c:auto val="1"/>
        <c:lblAlgn val="ctr"/>
        <c:lblOffset val="100"/>
        <c:noMultiLvlLbl val="0"/>
      </c:catAx>
      <c:valAx>
        <c:axId val="452665632"/>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2662888"/>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800"/>
              <a:t>産業別就業者割合</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2"/>
          <c:order val="0"/>
          <c:tx>
            <c:strRef>
              <c:f>管理者用地域特徴シート!$C$5</c:f>
              <c:strCache>
                <c:ptCount val="1"/>
                <c:pt idx="0">
                  <c:v>中堂四枝上畑地域</c:v>
                </c:pt>
              </c:strCache>
            </c:strRef>
          </c:tx>
          <c:spPr>
            <a:solidFill>
              <a:srgbClr val="FF0000"/>
            </a:solid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管理者用地域特徴シート!$BJ$5:$CB$5</c:f>
              <c:numCache>
                <c:formatCode>0.0%</c:formatCode>
                <c:ptCount val="19"/>
                <c:pt idx="0">
                  <c:v>0.29376854599406527</c:v>
                </c:pt>
                <c:pt idx="1">
                  <c:v>0</c:v>
                </c:pt>
                <c:pt idx="2">
                  <c:v>0</c:v>
                </c:pt>
                <c:pt idx="3">
                  <c:v>8.0118694362017809E-2</c:v>
                </c:pt>
                <c:pt idx="4">
                  <c:v>0.10979228486646884</c:v>
                </c:pt>
                <c:pt idx="5">
                  <c:v>2.967359050445104E-3</c:v>
                </c:pt>
                <c:pt idx="6">
                  <c:v>8.9020771513353119E-3</c:v>
                </c:pt>
                <c:pt idx="7">
                  <c:v>2.967359050445104E-2</c:v>
                </c:pt>
                <c:pt idx="8">
                  <c:v>0.11275964391691394</c:v>
                </c:pt>
                <c:pt idx="9">
                  <c:v>1.7804154302670624E-2</c:v>
                </c:pt>
                <c:pt idx="10">
                  <c:v>0</c:v>
                </c:pt>
                <c:pt idx="11">
                  <c:v>1.483679525222552E-2</c:v>
                </c:pt>
                <c:pt idx="12">
                  <c:v>4.4510385756676561E-2</c:v>
                </c:pt>
                <c:pt idx="13">
                  <c:v>2.3738872403560832E-2</c:v>
                </c:pt>
                <c:pt idx="14">
                  <c:v>2.967359050445104E-2</c:v>
                </c:pt>
                <c:pt idx="15">
                  <c:v>0.13056379821958458</c:v>
                </c:pt>
                <c:pt idx="16">
                  <c:v>3.2640949554896145E-2</c:v>
                </c:pt>
                <c:pt idx="17">
                  <c:v>5.0445103857566766E-2</c:v>
                </c:pt>
                <c:pt idx="18">
                  <c:v>1.7804154302670624E-2</c:v>
                </c:pt>
              </c:numCache>
            </c:numRef>
          </c:val>
          <c:extLst xmlns:c16r2="http://schemas.microsoft.com/office/drawing/2015/06/chart">
            <c:ext xmlns:c16="http://schemas.microsoft.com/office/drawing/2014/chart" uri="{C3380CC4-5D6E-409C-BE32-E72D297353CC}">
              <c16:uniqueId val="{00000000-08D2-40A5-96E9-AE4D4FB5EFC3}"/>
            </c:ext>
          </c:extLst>
        </c:ser>
        <c:ser>
          <c:idx val="1"/>
          <c:order val="1"/>
          <c:tx>
            <c:strRef>
              <c:f>管理者用地域特徴シート!$C$4</c:f>
              <c:strCache>
                <c:ptCount val="1"/>
                <c:pt idx="0">
                  <c:v>綾町平均</c:v>
                </c:pt>
              </c:strCache>
            </c:strRef>
          </c:tx>
          <c:spPr>
            <a:pattFill prst="pct50">
              <a:fgClr>
                <a:srgbClr val="0070C0"/>
              </a:fgClr>
              <a:bgClr>
                <a:schemeClr val="bg1"/>
              </a:bgClr>
            </a:patt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管理者用地域特徴シート!$BJ$4:$CB$4</c:f>
              <c:numCache>
                <c:formatCode>0.0%</c:formatCode>
                <c:ptCount val="19"/>
                <c:pt idx="0">
                  <c:v>0.21493146689997084</c:v>
                </c:pt>
                <c:pt idx="1">
                  <c:v>1.1665208515602217E-3</c:v>
                </c:pt>
                <c:pt idx="2">
                  <c:v>2.9163021289005544E-4</c:v>
                </c:pt>
                <c:pt idx="3">
                  <c:v>8.6905803441236509E-2</c:v>
                </c:pt>
                <c:pt idx="4">
                  <c:v>0.14056576261300671</c:v>
                </c:pt>
                <c:pt idx="5">
                  <c:v>1.7497812773403325E-3</c:v>
                </c:pt>
                <c:pt idx="6">
                  <c:v>9.0405365995917183E-3</c:v>
                </c:pt>
                <c:pt idx="7">
                  <c:v>3.4703995333916597E-2</c:v>
                </c:pt>
                <c:pt idx="8">
                  <c:v>0.11169437153689123</c:v>
                </c:pt>
                <c:pt idx="9">
                  <c:v>1.3123359580052493E-2</c:v>
                </c:pt>
                <c:pt idx="10">
                  <c:v>7.874015748031496E-3</c:v>
                </c:pt>
                <c:pt idx="11">
                  <c:v>1.2540099154272382E-2</c:v>
                </c:pt>
                <c:pt idx="12">
                  <c:v>4.2286380869058032E-2</c:v>
                </c:pt>
                <c:pt idx="13">
                  <c:v>2.5663458734324875E-2</c:v>
                </c:pt>
                <c:pt idx="14">
                  <c:v>3.3829104695246429E-2</c:v>
                </c:pt>
                <c:pt idx="15">
                  <c:v>0.14610673665791776</c:v>
                </c:pt>
                <c:pt idx="16">
                  <c:v>2.2163896179644212E-2</c:v>
                </c:pt>
                <c:pt idx="17">
                  <c:v>5.5409740449110526E-2</c:v>
                </c:pt>
                <c:pt idx="18">
                  <c:v>3.4412365121026536E-2</c:v>
                </c:pt>
              </c:numCache>
            </c:numRef>
          </c:val>
          <c:extLst xmlns:c16r2="http://schemas.microsoft.com/office/drawing/2015/06/chart">
            <c:ext xmlns:c16="http://schemas.microsoft.com/office/drawing/2014/chart" uri="{C3380CC4-5D6E-409C-BE32-E72D297353CC}">
              <c16:uniqueId val="{00000001-08D2-40A5-96E9-AE4D4FB5EFC3}"/>
            </c:ext>
          </c:extLst>
        </c:ser>
        <c:ser>
          <c:idx val="0"/>
          <c:order val="2"/>
          <c:tx>
            <c:strRef>
              <c:f>管理者用地域特徴シート!$C$3</c:f>
              <c:strCache>
                <c:ptCount val="1"/>
                <c:pt idx="0">
                  <c:v>県平均</c:v>
                </c:pt>
              </c:strCache>
            </c:strRef>
          </c:tx>
          <c:spPr>
            <a:pattFill prst="pct20">
              <a:fgClr>
                <a:srgbClr val="FFC000"/>
              </a:fgClr>
              <a:bgClr>
                <a:schemeClr val="bg1"/>
              </a:bgClr>
            </a:patt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管理者用地域特徴シート!$BJ$3:$CB$3</c:f>
              <c:numCache>
                <c:formatCode>0.0%</c:formatCode>
                <c:ptCount val="19"/>
                <c:pt idx="0">
                  <c:v>9.3465197997561075E-2</c:v>
                </c:pt>
                <c:pt idx="1">
                  <c:v>5.162537706180601E-3</c:v>
                </c:pt>
                <c:pt idx="2">
                  <c:v>2.3867210063538915E-4</c:v>
                </c:pt>
                <c:pt idx="3">
                  <c:v>8.3629500673897683E-2</c:v>
                </c:pt>
                <c:pt idx="4">
                  <c:v>0.11979935498363387</c:v>
                </c:pt>
                <c:pt idx="5">
                  <c:v>4.5969449971118665E-3</c:v>
                </c:pt>
                <c:pt idx="6">
                  <c:v>1.2916372504973999E-2</c:v>
                </c:pt>
                <c:pt idx="7">
                  <c:v>3.9410981323406709E-2</c:v>
                </c:pt>
                <c:pt idx="8">
                  <c:v>0.14584269302355429</c:v>
                </c:pt>
                <c:pt idx="9">
                  <c:v>1.9500914575444433E-2</c:v>
                </c:pt>
                <c:pt idx="10">
                  <c:v>1.2745892433091583E-2</c:v>
                </c:pt>
                <c:pt idx="11">
                  <c:v>2.4278367883961222E-2</c:v>
                </c:pt>
                <c:pt idx="12">
                  <c:v>5.017529362685319E-2</c:v>
                </c:pt>
                <c:pt idx="13">
                  <c:v>3.4094008728579657E-2</c:v>
                </c:pt>
                <c:pt idx="14">
                  <c:v>5.1123965085681275E-2</c:v>
                </c:pt>
                <c:pt idx="15">
                  <c:v>0.16686790000641796</c:v>
                </c:pt>
                <c:pt idx="16">
                  <c:v>1.2473124318079711E-2</c:v>
                </c:pt>
                <c:pt idx="17">
                  <c:v>5.730537192734738E-2</c:v>
                </c:pt>
                <c:pt idx="18">
                  <c:v>4.6970268275463689E-2</c:v>
                </c:pt>
              </c:numCache>
            </c:numRef>
          </c:val>
          <c:extLst xmlns:c16r2="http://schemas.microsoft.com/office/drawing/2015/06/chart">
            <c:ext xmlns:c16="http://schemas.microsoft.com/office/drawing/2014/chart" uri="{C3380CC4-5D6E-409C-BE32-E72D297353CC}">
              <c16:uniqueId val="{00000002-08D2-40A5-96E9-AE4D4FB5EFC3}"/>
            </c:ext>
          </c:extLst>
        </c:ser>
        <c:dLbls>
          <c:showLegendKey val="0"/>
          <c:showVal val="0"/>
          <c:showCatName val="0"/>
          <c:showSerName val="0"/>
          <c:showPercent val="0"/>
          <c:showBubbleSize val="0"/>
        </c:dLbls>
        <c:gapWidth val="150"/>
        <c:axId val="452664456"/>
        <c:axId val="452667200"/>
      </c:barChart>
      <c:catAx>
        <c:axId val="45266445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0" spcFirstLastPara="1" vertOverflow="ellipsis" vert="eaVert"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2667200"/>
        <c:crosses val="autoZero"/>
        <c:auto val="1"/>
        <c:lblAlgn val="ctr"/>
        <c:lblOffset val="100"/>
        <c:noMultiLvlLbl val="0"/>
      </c:catAx>
      <c:valAx>
        <c:axId val="452667200"/>
        <c:scaling>
          <c:orientation val="minMax"/>
        </c:scaling>
        <c:delete val="0"/>
        <c:axPos val="l"/>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2664456"/>
        <c:crosses val="autoZero"/>
        <c:crossBetween val="between"/>
      </c:valAx>
      <c:spPr>
        <a:noFill/>
        <a:ln>
          <a:noFill/>
        </a:ln>
        <a:effectLst/>
      </c:spPr>
    </c:plotArea>
    <c:legend>
      <c:legendPos val="b"/>
      <c:layout>
        <c:manualLayout>
          <c:xMode val="edge"/>
          <c:yMode val="edge"/>
          <c:x val="0.59275989797050022"/>
          <c:y val="0.10154944528997448"/>
          <c:w val="0.30109083337693021"/>
          <c:h val="0.11675722762570198"/>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自市町村内を通勤先とする割合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5FD-450B-AF66-8A6953136FCE}"/>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5FD-450B-AF66-8A6953136FCE}"/>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5FD-450B-AF66-8A6953136FCE}"/>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綾町平均</c:v>
                </c:pt>
                <c:pt idx="2">
                  <c:v>中堂四枝上畑地域</c:v>
                </c:pt>
              </c:strCache>
            </c:strRef>
          </c:cat>
          <c:val>
            <c:numRef>
              <c:f>管理者用地域特徴シート!$CK$3:$CK$5</c:f>
              <c:numCache>
                <c:formatCode>0.0%</c:formatCode>
                <c:ptCount val="3"/>
                <c:pt idx="0">
                  <c:v>0.82747216160708559</c:v>
                </c:pt>
                <c:pt idx="1">
                  <c:v>0.59346748323126275</c:v>
                </c:pt>
                <c:pt idx="2">
                  <c:v>0.64094955489614247</c:v>
                </c:pt>
              </c:numCache>
            </c:numRef>
          </c:val>
          <c:extLst xmlns:c16r2="http://schemas.microsoft.com/office/drawing/2015/06/chart">
            <c:ext xmlns:c16="http://schemas.microsoft.com/office/drawing/2014/chart" uri="{C3380CC4-5D6E-409C-BE32-E72D297353CC}">
              <c16:uniqueId val="{00000006-B5FD-450B-AF66-8A6953136FCE}"/>
            </c:ext>
          </c:extLst>
        </c:ser>
        <c:dLbls>
          <c:showLegendKey val="0"/>
          <c:showVal val="0"/>
          <c:showCatName val="0"/>
          <c:showSerName val="0"/>
          <c:showPercent val="0"/>
          <c:showBubbleSize val="0"/>
        </c:dLbls>
        <c:gapWidth val="182"/>
        <c:axId val="452667984"/>
        <c:axId val="452660536"/>
      </c:barChart>
      <c:catAx>
        <c:axId val="452667984"/>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2660536"/>
        <c:crosses val="autoZero"/>
        <c:auto val="1"/>
        <c:lblAlgn val="ctr"/>
        <c:lblOffset val="100"/>
        <c:noMultiLvlLbl val="0"/>
      </c:catAx>
      <c:valAx>
        <c:axId val="452660536"/>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2667984"/>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管理者用グラフシート!$B$30:$B$32</c:f>
              <c:numCache>
                <c:formatCode>General</c:formatCode>
                <c:ptCount val="3"/>
                <c:pt idx="0">
                  <c:v>2010</c:v>
                </c:pt>
                <c:pt idx="1">
                  <c:v>2015</c:v>
                </c:pt>
                <c:pt idx="2">
                  <c:v>2020</c:v>
                </c:pt>
              </c:numCache>
            </c:numRef>
          </c:cat>
          <c:val>
            <c:numRef>
              <c:f>管理者用グラフシート!$C$30:$C$32</c:f>
              <c:numCache>
                <c:formatCode>0%</c:formatCode>
                <c:ptCount val="3"/>
                <c:pt idx="0">
                  <c:v>0.33</c:v>
                </c:pt>
                <c:pt idx="1">
                  <c:v>0.37</c:v>
                </c:pt>
                <c:pt idx="2">
                  <c:v>0.42</c:v>
                </c:pt>
              </c:numCache>
            </c:numRef>
          </c:val>
          <c:extLst xmlns:c16r2="http://schemas.microsoft.com/office/drawing/2015/06/chart">
            <c:ext xmlns:c16="http://schemas.microsoft.com/office/drawing/2014/chart" uri="{C3380CC4-5D6E-409C-BE32-E72D297353CC}">
              <c16:uniqueId val="{00000000-DB94-44C2-ACC5-3CCBBD311627}"/>
            </c:ext>
          </c:extLst>
        </c:ser>
        <c:dLbls>
          <c:showLegendKey val="0"/>
          <c:showVal val="0"/>
          <c:showCatName val="0"/>
          <c:showSerName val="0"/>
          <c:showPercent val="0"/>
          <c:showBubbleSize val="0"/>
        </c:dLbls>
        <c:gapWidth val="219"/>
        <c:overlap val="-27"/>
        <c:axId val="388740112"/>
        <c:axId val="388739720"/>
      </c:barChart>
      <c:catAx>
        <c:axId val="38874011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8739720"/>
        <c:crosses val="autoZero"/>
        <c:auto val="1"/>
        <c:lblAlgn val="ctr"/>
        <c:lblOffset val="100"/>
        <c:noMultiLvlLbl val="0"/>
      </c:catAx>
      <c:valAx>
        <c:axId val="388739720"/>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8740112"/>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管理者用グラフシート!$B$34:$B$36</c:f>
              <c:numCache>
                <c:formatCode>General</c:formatCode>
                <c:ptCount val="3"/>
                <c:pt idx="0">
                  <c:v>2010</c:v>
                </c:pt>
                <c:pt idx="1">
                  <c:v>2015</c:v>
                </c:pt>
                <c:pt idx="2">
                  <c:v>2020</c:v>
                </c:pt>
              </c:numCache>
            </c:numRef>
          </c:cat>
          <c:val>
            <c:numRef>
              <c:f>管理者用グラフシート!$C$34:$C$36</c:f>
              <c:numCache>
                <c:formatCode>0%</c:formatCode>
                <c:ptCount val="3"/>
                <c:pt idx="0">
                  <c:v>0.17</c:v>
                </c:pt>
                <c:pt idx="1">
                  <c:v>0.19</c:v>
                </c:pt>
                <c:pt idx="2">
                  <c:v>0.22</c:v>
                </c:pt>
              </c:numCache>
            </c:numRef>
          </c:val>
          <c:extLst xmlns:c16r2="http://schemas.microsoft.com/office/drawing/2015/06/chart">
            <c:ext xmlns:c16="http://schemas.microsoft.com/office/drawing/2014/chart" uri="{C3380CC4-5D6E-409C-BE32-E72D297353CC}">
              <c16:uniqueId val="{00000000-7D61-415D-8FEA-34A6AF76FA90}"/>
            </c:ext>
          </c:extLst>
        </c:ser>
        <c:dLbls>
          <c:showLegendKey val="0"/>
          <c:showVal val="0"/>
          <c:showCatName val="0"/>
          <c:showSerName val="0"/>
          <c:showPercent val="0"/>
          <c:showBubbleSize val="0"/>
        </c:dLbls>
        <c:gapWidth val="219"/>
        <c:overlap val="-27"/>
        <c:axId val="388740896"/>
        <c:axId val="388741288"/>
      </c:barChart>
      <c:catAx>
        <c:axId val="38874089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8741288"/>
        <c:crosses val="autoZero"/>
        <c:auto val="1"/>
        <c:lblAlgn val="ctr"/>
        <c:lblOffset val="100"/>
        <c:noMultiLvlLbl val="0"/>
      </c:catAx>
      <c:valAx>
        <c:axId val="388741288"/>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8740896"/>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p>
        </c:rich>
      </c:tx>
      <c:layout>
        <c:manualLayout>
          <c:xMode val="edge"/>
          <c:yMode val="edge"/>
          <c:x val="0.38007537371512445"/>
          <c:y val="1.6528937196145854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管理者用グラフシート!$B$40</c:f>
              <c:strCache>
                <c:ptCount val="1"/>
                <c:pt idx="0">
                  <c:v>男性</c:v>
                </c:pt>
              </c:strCache>
            </c:strRef>
          </c:tx>
          <c:spPr>
            <a:solidFill>
              <a:srgbClr val="00B050"/>
            </a:solidFill>
            <a:ln>
              <a:solidFill>
                <a:schemeClr val="tx1"/>
              </a:solidFill>
            </a:ln>
            <a:effectLst/>
          </c:spPr>
          <c:invertIfNegative val="0"/>
          <c:dLbls>
            <c:dLbl>
              <c:idx val="18"/>
              <c:layout>
                <c:manualLayout>
                  <c:x val="-8.2422623833100644E-3"/>
                  <c:y val="-3.4818220786176236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A31F-4415-A23E-AC93C2036EF5}"/>
                </c:ext>
                <c:ext xmlns:c15="http://schemas.microsoft.com/office/drawing/2012/chart" uri="{CE6537A1-D6FC-4f65-9D91-7224C49458BB}"/>
              </c:extLst>
            </c:dLbl>
            <c:dLbl>
              <c:idx val="19"/>
              <c:layout>
                <c:manualLayout>
                  <c:x val="-4.1200765507075424E-3"/>
                  <c:y val="-3.4818220786176236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A31F-4415-A23E-AC93C2036EF5}"/>
                </c:ext>
                <c:ext xmlns:c15="http://schemas.microsoft.com/office/drawing/2012/chart" uri="{CE6537A1-D6FC-4f65-9D91-7224C49458BB}"/>
              </c:extLst>
            </c:dLbl>
            <c:dLbl>
              <c:idx val="20"/>
              <c:layout>
                <c:manualLayout>
                  <c:x val="-3.6992423621685692E-2"/>
                  <c:y val="-3.4818220786176236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2-A31F-4415-A23E-AC93C2036EF5}"/>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管理者用グラフシート!$B$41:$B$61</c:f>
              <c:numCache>
                <c:formatCode>#,##0_);[Red]\(#,##0\)</c:formatCode>
                <c:ptCount val="21"/>
                <c:pt idx="0">
                  <c:v>9</c:v>
                </c:pt>
                <c:pt idx="1">
                  <c:v>9</c:v>
                </c:pt>
                <c:pt idx="2">
                  <c:v>14</c:v>
                </c:pt>
                <c:pt idx="3">
                  <c:v>21</c:v>
                </c:pt>
                <c:pt idx="4">
                  <c:v>15</c:v>
                </c:pt>
                <c:pt idx="5">
                  <c:v>12</c:v>
                </c:pt>
                <c:pt idx="6">
                  <c:v>14</c:v>
                </c:pt>
                <c:pt idx="7">
                  <c:v>11</c:v>
                </c:pt>
                <c:pt idx="8">
                  <c:v>25</c:v>
                </c:pt>
                <c:pt idx="9">
                  <c:v>26</c:v>
                </c:pt>
                <c:pt idx="10">
                  <c:v>27</c:v>
                </c:pt>
                <c:pt idx="11">
                  <c:v>35</c:v>
                </c:pt>
                <c:pt idx="12">
                  <c:v>37</c:v>
                </c:pt>
                <c:pt idx="13">
                  <c:v>24</c:v>
                </c:pt>
                <c:pt idx="14">
                  <c:v>31</c:v>
                </c:pt>
                <c:pt idx="15">
                  <c:v>30</c:v>
                </c:pt>
                <c:pt idx="16">
                  <c:v>21</c:v>
                </c:pt>
                <c:pt idx="17">
                  <c:v>3</c:v>
                </c:pt>
                <c:pt idx="18">
                  <c:v>3</c:v>
                </c:pt>
                <c:pt idx="19">
                  <c:v>0</c:v>
                </c:pt>
                <c:pt idx="20">
                  <c:v>0</c:v>
                </c:pt>
              </c:numCache>
            </c:numRef>
          </c:val>
          <c:extLst xmlns:c16r2="http://schemas.microsoft.com/office/drawing/2015/06/chart">
            <c:ext xmlns:c16="http://schemas.microsoft.com/office/drawing/2014/chart" uri="{C3380CC4-5D6E-409C-BE32-E72D297353CC}">
              <c16:uniqueId val="{00000001-435E-4599-8397-4B00B67CC11F}"/>
            </c:ext>
          </c:extLst>
        </c:ser>
        <c:dLbls>
          <c:dLblPos val="outEnd"/>
          <c:showLegendKey val="0"/>
          <c:showVal val="1"/>
          <c:showCatName val="0"/>
          <c:showSerName val="0"/>
          <c:showPercent val="0"/>
          <c:showBubbleSize val="0"/>
        </c:dLbls>
        <c:gapWidth val="0"/>
        <c:axId val="389556136"/>
        <c:axId val="389557704"/>
      </c:barChart>
      <c:barChart>
        <c:barDir val="bar"/>
        <c:grouping val="clustered"/>
        <c:varyColors val="0"/>
        <c:ser>
          <c:idx val="1"/>
          <c:order val="1"/>
          <c:tx>
            <c:strRef>
              <c:f>管理者用グラフシート!$C$40</c:f>
              <c:strCache>
                <c:ptCount val="1"/>
                <c:pt idx="0">
                  <c:v>女性</c:v>
                </c:pt>
              </c:strCache>
            </c:strRef>
          </c:tx>
          <c:spPr>
            <a:solidFill>
              <a:srgbClr val="FF0000"/>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管理者用グラフシート!$C$41:$C$61</c:f>
              <c:numCache>
                <c:formatCode>#,##0_);[Red]\(#,##0\)</c:formatCode>
                <c:ptCount val="21"/>
                <c:pt idx="0">
                  <c:v>11</c:v>
                </c:pt>
                <c:pt idx="1">
                  <c:v>10</c:v>
                </c:pt>
                <c:pt idx="2">
                  <c:v>23</c:v>
                </c:pt>
                <c:pt idx="3">
                  <c:v>18</c:v>
                </c:pt>
                <c:pt idx="4">
                  <c:v>11</c:v>
                </c:pt>
                <c:pt idx="5">
                  <c:v>17</c:v>
                </c:pt>
                <c:pt idx="6">
                  <c:v>6</c:v>
                </c:pt>
                <c:pt idx="7">
                  <c:v>22</c:v>
                </c:pt>
                <c:pt idx="8">
                  <c:v>23</c:v>
                </c:pt>
                <c:pt idx="9">
                  <c:v>26</c:v>
                </c:pt>
                <c:pt idx="10">
                  <c:v>32</c:v>
                </c:pt>
                <c:pt idx="11">
                  <c:v>35</c:v>
                </c:pt>
                <c:pt idx="12">
                  <c:v>38</c:v>
                </c:pt>
                <c:pt idx="13">
                  <c:v>36</c:v>
                </c:pt>
                <c:pt idx="14">
                  <c:v>29</c:v>
                </c:pt>
                <c:pt idx="15">
                  <c:v>36</c:v>
                </c:pt>
                <c:pt idx="16">
                  <c:v>23</c:v>
                </c:pt>
                <c:pt idx="17">
                  <c:v>13</c:v>
                </c:pt>
                <c:pt idx="18">
                  <c:v>6</c:v>
                </c:pt>
                <c:pt idx="19">
                  <c:v>1</c:v>
                </c:pt>
                <c:pt idx="20">
                  <c:v>0</c:v>
                </c:pt>
              </c:numCache>
            </c:numRef>
          </c:val>
          <c:extLst xmlns:c16r2="http://schemas.microsoft.com/office/drawing/2015/06/chart">
            <c:ext xmlns:c16="http://schemas.microsoft.com/office/drawing/2014/chart" uri="{C3380CC4-5D6E-409C-BE32-E72D297353CC}">
              <c16:uniqueId val="{00000002-435E-4599-8397-4B00B67CC11F}"/>
            </c:ext>
          </c:extLst>
        </c:ser>
        <c:dLbls>
          <c:dLblPos val="outEnd"/>
          <c:showLegendKey val="0"/>
          <c:showVal val="1"/>
          <c:showCatName val="0"/>
          <c:showSerName val="0"/>
          <c:showPercent val="0"/>
          <c:showBubbleSize val="0"/>
        </c:dLbls>
        <c:gapWidth val="0"/>
        <c:axId val="389556920"/>
        <c:axId val="389560056"/>
      </c:barChart>
      <c:catAx>
        <c:axId val="389556136"/>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9557704"/>
        <c:crosses val="autoZero"/>
        <c:auto val="1"/>
        <c:lblAlgn val="ctr"/>
        <c:lblOffset val="100"/>
        <c:noMultiLvlLbl val="0"/>
      </c:catAx>
      <c:valAx>
        <c:axId val="389557704"/>
        <c:scaling>
          <c:orientation val="maxMin"/>
          <c:max val="100"/>
          <c:min val="-1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9556136"/>
        <c:crosses val="autoZero"/>
        <c:crossBetween val="between"/>
        <c:majorUnit val="50"/>
      </c:valAx>
      <c:valAx>
        <c:axId val="389560056"/>
        <c:scaling>
          <c:orientation val="minMax"/>
          <c:max val="100"/>
          <c:min val="-1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9556920"/>
        <c:crosses val="max"/>
        <c:crossBetween val="between"/>
        <c:majorUnit val="50"/>
      </c:valAx>
      <c:catAx>
        <c:axId val="389556920"/>
        <c:scaling>
          <c:orientation val="minMax"/>
        </c:scaling>
        <c:delete val="1"/>
        <c:axPos val="l"/>
        <c:numFmt formatCode="General" sourceLinked="1"/>
        <c:majorTickMark val="out"/>
        <c:minorTickMark val="none"/>
        <c:tickLblPos val="nextTo"/>
        <c:crossAx val="389560056"/>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総人口の推移グラフ</a:t>
            </a:r>
          </a:p>
        </c:rich>
      </c:tx>
      <c:layout/>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0.14301232656539747"/>
          <c:y val="0.12799872720695341"/>
          <c:w val="0.83160223544494027"/>
          <c:h val="0.78975929201295791"/>
        </c:manualLayout>
      </c:layout>
      <c:barChart>
        <c:barDir val="col"/>
        <c:grouping val="stacked"/>
        <c:varyColors val="0"/>
        <c:ser>
          <c:idx val="0"/>
          <c:order val="0"/>
          <c:tx>
            <c:v>男性</c:v>
          </c:tx>
          <c:spPr>
            <a:pattFill prst="pct50">
              <a:fgClr>
                <a:schemeClr val="accent5"/>
              </a:fgClr>
              <a:bgClr>
                <a:schemeClr val="bg1"/>
              </a:bgClr>
            </a:pattFill>
            <a:ln>
              <a:solidFill>
                <a:schemeClr val="accent5"/>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管理者用グラフシート!$C$4:$C$6</c:f>
              <c:numCache>
                <c:formatCode>#,##0_);[Red]\(#,##0\)</c:formatCode>
                <c:ptCount val="3"/>
                <c:pt idx="0">
                  <c:v>367</c:v>
                </c:pt>
                <c:pt idx="1">
                  <c:v>357</c:v>
                </c:pt>
                <c:pt idx="2">
                  <c:v>321</c:v>
                </c:pt>
              </c:numCache>
            </c:numRef>
          </c:val>
          <c:extLst xmlns:c16r2="http://schemas.microsoft.com/office/drawing/2015/06/chart">
            <c:ext xmlns:c16="http://schemas.microsoft.com/office/drawing/2014/chart" uri="{C3380CC4-5D6E-409C-BE32-E72D297353CC}">
              <c16:uniqueId val="{00000000-AC3D-4D72-BC17-C45AE4C8E781}"/>
            </c:ext>
          </c:extLst>
        </c:ser>
        <c:ser>
          <c:idx val="1"/>
          <c:order val="1"/>
          <c:tx>
            <c:v>女性</c:v>
          </c:tx>
          <c:spPr>
            <a:pattFill prst="pct50">
              <a:fgClr>
                <a:srgbClr val="FF66FF"/>
              </a:fgClr>
              <a:bgClr>
                <a:schemeClr val="bg1"/>
              </a:bgClr>
            </a:pattFill>
            <a:ln>
              <a:solidFill>
                <a:srgbClr val="FF66FF"/>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管理者用グラフシート!$D$4:$D$6</c:f>
              <c:numCache>
                <c:formatCode>#,##0_);[Red]\(#,##0\)</c:formatCode>
                <c:ptCount val="3"/>
                <c:pt idx="0">
                  <c:v>416</c:v>
                </c:pt>
                <c:pt idx="1">
                  <c:v>398</c:v>
                </c:pt>
                <c:pt idx="2">
                  <c:v>375</c:v>
                </c:pt>
              </c:numCache>
            </c:numRef>
          </c:val>
          <c:extLst xmlns:c16r2="http://schemas.microsoft.com/office/drawing/2015/06/chart">
            <c:ext xmlns:c16="http://schemas.microsoft.com/office/drawing/2014/chart" uri="{C3380CC4-5D6E-409C-BE32-E72D297353CC}">
              <c16:uniqueId val="{00000000-AEA6-447B-8053-A53C8B56E548}"/>
            </c:ext>
          </c:extLst>
        </c:ser>
        <c:dLbls>
          <c:showLegendKey val="0"/>
          <c:showVal val="0"/>
          <c:showCatName val="0"/>
          <c:showSerName val="0"/>
          <c:showPercent val="0"/>
          <c:showBubbleSize val="0"/>
        </c:dLbls>
        <c:gapWidth val="219"/>
        <c:overlap val="100"/>
        <c:axId val="389560448"/>
        <c:axId val="389554960"/>
      </c:barChart>
      <c:lineChart>
        <c:grouping val="standard"/>
        <c:varyColors val="0"/>
        <c:ser>
          <c:idx val="2"/>
          <c:order val="2"/>
          <c:tx>
            <c:strRef>
              <c:f>管理者用グラフシート!$E$3</c:f>
              <c:strCache>
                <c:ptCount val="1"/>
                <c:pt idx="0">
                  <c:v>計</c:v>
                </c:pt>
              </c:strCache>
            </c:strRef>
          </c:tx>
          <c:spPr>
            <a:ln w="28575" cap="rnd">
              <a:noFill/>
              <a:round/>
            </a:ln>
            <a:effectLst/>
          </c:spPr>
          <c:marker>
            <c:symbol val="none"/>
          </c:marker>
          <c:dLbls>
            <c:dLbl>
              <c:idx val="2"/>
              <c:layout>
                <c:manualLayout>
                  <c:x val="-5.3450815957405057E-2"/>
                  <c:y val="-3.4672765335384333E-2"/>
                </c:manualLayout>
              </c:layout>
              <c:dLblPos val="r"/>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AEA6-447B-8053-A53C8B56E548}"/>
                </c:ext>
                <c:ext xmlns:c15="http://schemas.microsoft.com/office/drawing/2012/chart" uri="{CE6537A1-D6FC-4f65-9D91-7224C49458BB}">
                  <c15:layout/>
                </c:ext>
              </c:extLst>
            </c:dLbl>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管理者用グラフシート!$E$4:$E$6</c:f>
              <c:numCache>
                <c:formatCode>#,##0_);[Red]\(#,##0\)</c:formatCode>
                <c:ptCount val="3"/>
                <c:pt idx="0">
                  <c:v>783</c:v>
                </c:pt>
                <c:pt idx="1">
                  <c:v>755</c:v>
                </c:pt>
                <c:pt idx="2">
                  <c:v>696</c:v>
                </c:pt>
              </c:numCache>
            </c:numRef>
          </c:val>
          <c:smooth val="0"/>
          <c:extLst xmlns:c16r2="http://schemas.microsoft.com/office/drawing/2015/06/chart">
            <c:ext xmlns:c16="http://schemas.microsoft.com/office/drawing/2014/chart" uri="{C3380CC4-5D6E-409C-BE32-E72D297353CC}">
              <c16:uniqueId val="{00000002-AEA6-447B-8053-A53C8B56E548}"/>
            </c:ext>
          </c:extLst>
        </c:ser>
        <c:dLbls>
          <c:showLegendKey val="0"/>
          <c:showVal val="0"/>
          <c:showCatName val="0"/>
          <c:showSerName val="0"/>
          <c:showPercent val="0"/>
          <c:showBubbleSize val="0"/>
        </c:dLbls>
        <c:marker val="1"/>
        <c:smooth val="0"/>
        <c:axId val="389560448"/>
        <c:axId val="389554960"/>
      </c:lineChart>
      <c:catAx>
        <c:axId val="38956044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6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9554960"/>
        <c:crosses val="autoZero"/>
        <c:auto val="1"/>
        <c:lblAlgn val="ctr"/>
        <c:lblOffset val="100"/>
        <c:noMultiLvlLbl val="0"/>
      </c:catAx>
      <c:valAx>
        <c:axId val="389554960"/>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9560448"/>
        <c:crosses val="autoZero"/>
        <c:crossBetween val="between"/>
      </c:valAx>
      <c:spPr>
        <a:noFill/>
        <a:ln>
          <a:noFill/>
        </a:ln>
        <a:effectLst/>
      </c:spPr>
    </c:plotArea>
    <c:legend>
      <c:legendPos val="t"/>
      <c:legendEntry>
        <c:idx val="2"/>
        <c:delete val="1"/>
      </c:legendEntry>
      <c:layout>
        <c:manualLayout>
          <c:xMode val="edge"/>
          <c:yMode val="edge"/>
          <c:x val="0.70851122072725436"/>
          <c:y val="4.0072532051118798E-2"/>
          <c:w val="0.2891543123898927"/>
          <c:h val="6.982325068153937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orientation="portrait"/>
  </c:printSettings>
  <c:userShapes r:id="rId3"/>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p>
        </c:rich>
      </c:tx>
      <c:layout>
        <c:manualLayout>
          <c:xMode val="edge"/>
          <c:yMode val="edge"/>
          <c:x val="0.38049027444624511"/>
          <c:y val="1.6528903160288638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管理者用グラフシート!$B$40</c:f>
              <c:strCache>
                <c:ptCount val="1"/>
                <c:pt idx="0">
                  <c:v>男性</c:v>
                </c:pt>
              </c:strCache>
            </c:strRef>
          </c:tx>
          <c:spPr>
            <a:solidFill>
              <a:srgbClr val="00B050"/>
            </a:solidFill>
            <a:ln>
              <a:solidFill>
                <a:schemeClr val="tx1"/>
              </a:solidFill>
            </a:ln>
            <a:effectLst/>
          </c:spPr>
          <c:invertIfNegative val="0"/>
          <c:dLbls>
            <c:dLbl>
              <c:idx val="19"/>
              <c:layout>
                <c:manualLayout>
                  <c:x val="-6.3188760810262536E-3"/>
                  <c:y val="-3.7589828961838482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8F0E-443F-B77A-09B550AF03C6}"/>
                </c:ext>
                <c:ext xmlns:c15="http://schemas.microsoft.com/office/drawing/2012/chart" uri="{CE6537A1-D6FC-4f65-9D91-7224C49458BB}"/>
              </c:extLst>
            </c:dLbl>
            <c:dLbl>
              <c:idx val="20"/>
              <c:layout>
                <c:manualLayout>
                  <c:x val="-3.6946888930098752E-2"/>
                  <c:y val="-1.8794914480919241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8F0E-443F-B77A-09B550AF03C6}"/>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管理者用グラフシート!$B$89:$B$109</c:f>
              <c:numCache>
                <c:formatCode>#,##0_);[Red]\(#,##0\)</c:formatCode>
                <c:ptCount val="21"/>
                <c:pt idx="0">
                  <c:v>7</c:v>
                </c:pt>
                <c:pt idx="1">
                  <c:v>16</c:v>
                </c:pt>
                <c:pt idx="2">
                  <c:v>19</c:v>
                </c:pt>
                <c:pt idx="3">
                  <c:v>8</c:v>
                </c:pt>
                <c:pt idx="4">
                  <c:v>5</c:v>
                </c:pt>
                <c:pt idx="5">
                  <c:v>7</c:v>
                </c:pt>
                <c:pt idx="6">
                  <c:v>3</c:v>
                </c:pt>
                <c:pt idx="7">
                  <c:v>16</c:v>
                </c:pt>
                <c:pt idx="8">
                  <c:v>15</c:v>
                </c:pt>
                <c:pt idx="9">
                  <c:v>24</c:v>
                </c:pt>
                <c:pt idx="10">
                  <c:v>21</c:v>
                </c:pt>
                <c:pt idx="11">
                  <c:v>22</c:v>
                </c:pt>
                <c:pt idx="12">
                  <c:v>28</c:v>
                </c:pt>
                <c:pt idx="13">
                  <c:v>31</c:v>
                </c:pt>
                <c:pt idx="14">
                  <c:v>36</c:v>
                </c:pt>
                <c:pt idx="15">
                  <c:v>22</c:v>
                </c:pt>
                <c:pt idx="16">
                  <c:v>19</c:v>
                </c:pt>
                <c:pt idx="17">
                  <c:v>17</c:v>
                </c:pt>
                <c:pt idx="18">
                  <c:v>5</c:v>
                </c:pt>
                <c:pt idx="19">
                  <c:v>0</c:v>
                </c:pt>
                <c:pt idx="20">
                  <c:v>0</c:v>
                </c:pt>
              </c:numCache>
            </c:numRef>
          </c:val>
          <c:extLst xmlns:c16r2="http://schemas.microsoft.com/office/drawing/2015/06/chart">
            <c:ext xmlns:c16="http://schemas.microsoft.com/office/drawing/2014/chart" uri="{C3380CC4-5D6E-409C-BE32-E72D297353CC}">
              <c16:uniqueId val="{00000001-435E-4599-8397-4B00B67CC11F}"/>
            </c:ext>
          </c:extLst>
        </c:ser>
        <c:dLbls>
          <c:dLblPos val="outEnd"/>
          <c:showLegendKey val="0"/>
          <c:showVal val="1"/>
          <c:showCatName val="0"/>
          <c:showSerName val="0"/>
          <c:showPercent val="0"/>
          <c:showBubbleSize val="0"/>
        </c:dLbls>
        <c:gapWidth val="0"/>
        <c:axId val="389557312"/>
        <c:axId val="389558096"/>
      </c:barChart>
      <c:barChart>
        <c:barDir val="bar"/>
        <c:grouping val="clustered"/>
        <c:varyColors val="0"/>
        <c:ser>
          <c:idx val="1"/>
          <c:order val="1"/>
          <c:tx>
            <c:strRef>
              <c:f>管理者用グラフシート!$C$40</c:f>
              <c:strCache>
                <c:ptCount val="1"/>
                <c:pt idx="0">
                  <c:v>女性</c:v>
                </c:pt>
              </c:strCache>
            </c:strRef>
          </c:tx>
          <c:spPr>
            <a:solidFill>
              <a:srgbClr val="FF0000"/>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管理者用グラフシート!$C$89:$C$109</c:f>
              <c:numCache>
                <c:formatCode>#,##0_);[Red]\(#,##0\)</c:formatCode>
                <c:ptCount val="21"/>
                <c:pt idx="0">
                  <c:v>16</c:v>
                </c:pt>
                <c:pt idx="1">
                  <c:v>13</c:v>
                </c:pt>
                <c:pt idx="2">
                  <c:v>12</c:v>
                </c:pt>
                <c:pt idx="3">
                  <c:v>12</c:v>
                </c:pt>
                <c:pt idx="4">
                  <c:v>12</c:v>
                </c:pt>
                <c:pt idx="5">
                  <c:v>8</c:v>
                </c:pt>
                <c:pt idx="6">
                  <c:v>6</c:v>
                </c:pt>
                <c:pt idx="7">
                  <c:v>17</c:v>
                </c:pt>
                <c:pt idx="8">
                  <c:v>13</c:v>
                </c:pt>
                <c:pt idx="9">
                  <c:v>22</c:v>
                </c:pt>
                <c:pt idx="10">
                  <c:v>24</c:v>
                </c:pt>
                <c:pt idx="11">
                  <c:v>23</c:v>
                </c:pt>
                <c:pt idx="12">
                  <c:v>32</c:v>
                </c:pt>
                <c:pt idx="13">
                  <c:v>38</c:v>
                </c:pt>
                <c:pt idx="14">
                  <c:v>40</c:v>
                </c:pt>
                <c:pt idx="15">
                  <c:v>32</c:v>
                </c:pt>
                <c:pt idx="16">
                  <c:v>23</c:v>
                </c:pt>
                <c:pt idx="17">
                  <c:v>17</c:v>
                </c:pt>
                <c:pt idx="18">
                  <c:v>12</c:v>
                </c:pt>
                <c:pt idx="19">
                  <c:v>3</c:v>
                </c:pt>
                <c:pt idx="20">
                  <c:v>0</c:v>
                </c:pt>
              </c:numCache>
            </c:numRef>
          </c:val>
          <c:extLst xmlns:c16r2="http://schemas.microsoft.com/office/drawing/2015/06/chart">
            <c:ext xmlns:c16="http://schemas.microsoft.com/office/drawing/2014/chart" uri="{C3380CC4-5D6E-409C-BE32-E72D297353CC}">
              <c16:uniqueId val="{00000002-435E-4599-8397-4B00B67CC11F}"/>
            </c:ext>
          </c:extLst>
        </c:ser>
        <c:dLbls>
          <c:dLblPos val="outEnd"/>
          <c:showLegendKey val="0"/>
          <c:showVal val="1"/>
          <c:showCatName val="0"/>
          <c:showSerName val="0"/>
          <c:showPercent val="0"/>
          <c:showBubbleSize val="0"/>
        </c:dLbls>
        <c:gapWidth val="0"/>
        <c:axId val="389555744"/>
        <c:axId val="389561624"/>
      </c:barChart>
      <c:catAx>
        <c:axId val="389557312"/>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9558096"/>
        <c:crosses val="autoZero"/>
        <c:auto val="1"/>
        <c:lblAlgn val="ctr"/>
        <c:lblOffset val="100"/>
        <c:noMultiLvlLbl val="0"/>
      </c:catAx>
      <c:valAx>
        <c:axId val="389558096"/>
        <c:scaling>
          <c:orientation val="maxMin"/>
          <c:max val="100"/>
          <c:min val="-1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9557312"/>
        <c:crosses val="autoZero"/>
        <c:crossBetween val="between"/>
        <c:majorUnit val="50"/>
      </c:valAx>
      <c:valAx>
        <c:axId val="389561624"/>
        <c:scaling>
          <c:orientation val="minMax"/>
          <c:max val="100"/>
          <c:min val="-1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9555744"/>
        <c:crosses val="max"/>
        <c:crossBetween val="between"/>
        <c:majorUnit val="50"/>
      </c:valAx>
      <c:catAx>
        <c:axId val="389555744"/>
        <c:scaling>
          <c:orientation val="minMax"/>
        </c:scaling>
        <c:delete val="1"/>
        <c:axPos val="l"/>
        <c:numFmt formatCode="General" sourceLinked="1"/>
        <c:majorTickMark val="out"/>
        <c:minorTickMark val="none"/>
        <c:tickLblPos val="nextTo"/>
        <c:crossAx val="389561624"/>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総人口の推移グラフ</a:t>
            </a:r>
          </a:p>
        </c:rich>
      </c:tx>
      <c:layout/>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0.14879800770516849"/>
          <c:y val="0.14310162951141897"/>
          <c:w val="0.8247895655600106"/>
          <c:h val="0.78435556078958235"/>
        </c:manualLayout>
      </c:layout>
      <c:barChart>
        <c:barDir val="col"/>
        <c:grouping val="stacked"/>
        <c:varyColors val="0"/>
        <c:ser>
          <c:idx val="0"/>
          <c:order val="0"/>
          <c:tx>
            <c:strRef>
              <c:f>管理者用グラフシート!$I$3</c:f>
              <c:strCache>
                <c:ptCount val="1"/>
                <c:pt idx="0">
                  <c:v>男性</c:v>
                </c:pt>
              </c:strCache>
            </c:strRef>
          </c:tx>
          <c:spPr>
            <a:pattFill prst="pct20">
              <a:fgClr>
                <a:schemeClr val="accent5"/>
              </a:fgClr>
              <a:bgClr>
                <a:schemeClr val="bg1"/>
              </a:bgClr>
            </a:pattFill>
            <a:ln>
              <a:solidFill>
                <a:schemeClr val="accent5"/>
              </a:solidFill>
            </a:ln>
            <a:effectLst/>
          </c:spPr>
          <c:invertIfNegative val="0"/>
          <c:dPt>
            <c:idx val="0"/>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1-6D9F-4CAE-8E27-80F67C4F2925}"/>
              </c:ext>
            </c:extLst>
          </c:dPt>
          <c:dPt>
            <c:idx val="1"/>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3-6D9F-4CAE-8E27-80F67C4F2925}"/>
              </c:ext>
            </c:extLst>
          </c:dPt>
          <c:dPt>
            <c:idx val="2"/>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5-6D9F-4CAE-8E27-80F67C4F2925}"/>
              </c:ext>
            </c:extLst>
          </c:dPt>
          <c:dPt>
            <c:idx val="3"/>
            <c:invertIfNegative val="0"/>
            <c:bubble3D val="0"/>
            <c:extLst xmlns:c16r2="http://schemas.microsoft.com/office/drawing/2015/06/chart">
              <c:ext xmlns:c16="http://schemas.microsoft.com/office/drawing/2014/chart" uri="{C3380CC4-5D6E-409C-BE32-E72D297353CC}">
                <c16:uniqueId val="{00000001-8105-4E9F-AD1A-23580AED8A2B}"/>
              </c:ext>
            </c:extLst>
          </c:dPt>
          <c:dPt>
            <c:idx val="4"/>
            <c:invertIfNegative val="0"/>
            <c:bubble3D val="0"/>
            <c:extLst xmlns:c16r2="http://schemas.microsoft.com/office/drawing/2015/06/chart">
              <c:ext xmlns:c16="http://schemas.microsoft.com/office/drawing/2014/chart" uri="{C3380CC4-5D6E-409C-BE32-E72D297353CC}">
                <c16:uniqueId val="{00000003-8105-4E9F-AD1A-23580AED8A2B}"/>
              </c:ext>
            </c:extLst>
          </c:dPt>
          <c:dPt>
            <c:idx val="5"/>
            <c:invertIfNegative val="0"/>
            <c:bubble3D val="0"/>
            <c:extLst xmlns:c16r2="http://schemas.microsoft.com/office/drawing/2015/06/chart">
              <c:ext xmlns:c16="http://schemas.microsoft.com/office/drawing/2014/chart" uri="{C3380CC4-5D6E-409C-BE32-E72D297353CC}">
                <c16:uniqueId val="{00000005-8105-4E9F-AD1A-23580AED8A2B}"/>
              </c:ext>
            </c:extLst>
          </c:dPt>
          <c:dPt>
            <c:idx val="6"/>
            <c:invertIfNegative val="0"/>
            <c:bubble3D val="0"/>
            <c:extLst xmlns:c16r2="http://schemas.microsoft.com/office/drawing/2015/06/chart">
              <c:ext xmlns:c16="http://schemas.microsoft.com/office/drawing/2014/chart" uri="{C3380CC4-5D6E-409C-BE32-E72D297353CC}">
                <c16:uniqueId val="{00000007-8105-4E9F-AD1A-23580AED8A2B}"/>
              </c:ext>
            </c:extLst>
          </c:dPt>
          <c:dLbls>
            <c:dLbl>
              <c:idx val="0"/>
              <c:layout>
                <c:manualLayout>
                  <c:x val="0"/>
                  <c:y val="-4.96096753710813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6D9F-4CAE-8E27-80F67C4F2925}"/>
                </c:ext>
                <c:ext xmlns:c15="http://schemas.microsoft.com/office/drawing/2012/chart" uri="{CE6537A1-D6FC-4f65-9D91-7224C49458BB}">
                  <c15:layout/>
                </c:ext>
              </c:extLst>
            </c:dLbl>
            <c:dLbl>
              <c:idx val="1"/>
              <c:layout>
                <c:manualLayout>
                  <c:x val="0"/>
                  <c:y val="-4.96096753710813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6D9F-4CAE-8E27-80F67C4F2925}"/>
                </c:ext>
                <c:ext xmlns:c15="http://schemas.microsoft.com/office/drawing/2012/chart" uri="{CE6537A1-D6FC-4f65-9D91-7224C49458BB}">
                  <c15:layout/>
                </c:ext>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管理者用グラフシート!$I$4:$I$10</c:f>
              <c:numCache>
                <c:formatCode>#,##0_);[Red]\(#,##0\)</c:formatCode>
                <c:ptCount val="7"/>
                <c:pt idx="0">
                  <c:v>367</c:v>
                </c:pt>
                <c:pt idx="1">
                  <c:v>357</c:v>
                </c:pt>
                <c:pt idx="2">
                  <c:v>321</c:v>
                </c:pt>
                <c:pt idx="3">
                  <c:v>288</c:v>
                </c:pt>
                <c:pt idx="4">
                  <c:v>248</c:v>
                </c:pt>
                <c:pt idx="5">
                  <c:v>211</c:v>
                </c:pt>
                <c:pt idx="6">
                  <c:v>179</c:v>
                </c:pt>
              </c:numCache>
            </c:numRef>
          </c:val>
          <c:extLst xmlns:c16r2="http://schemas.microsoft.com/office/drawing/2015/06/chart">
            <c:ext xmlns:c16="http://schemas.microsoft.com/office/drawing/2014/chart" uri="{C3380CC4-5D6E-409C-BE32-E72D297353CC}">
              <c16:uniqueId val="{00000008-8105-4E9F-AD1A-23580AED8A2B}"/>
            </c:ext>
          </c:extLst>
        </c:ser>
        <c:ser>
          <c:idx val="1"/>
          <c:order val="1"/>
          <c:tx>
            <c:strRef>
              <c:f>管理者用グラフシート!$J$3</c:f>
              <c:strCache>
                <c:ptCount val="1"/>
                <c:pt idx="0">
                  <c:v>女性</c:v>
                </c:pt>
              </c:strCache>
            </c:strRef>
          </c:tx>
          <c:spPr>
            <a:pattFill prst="pct25">
              <a:fgClr>
                <a:srgbClr val="FF66FF"/>
              </a:fgClr>
              <a:bgClr>
                <a:schemeClr val="bg1"/>
              </a:bgClr>
            </a:pattFill>
            <a:ln>
              <a:solidFill>
                <a:srgbClr val="FF66FF"/>
              </a:solidFill>
            </a:ln>
            <a:effectLst/>
          </c:spPr>
          <c:invertIfNegative val="0"/>
          <c:dPt>
            <c:idx val="0"/>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B-6D9F-4CAE-8E27-80F67C4F2925}"/>
              </c:ext>
            </c:extLst>
          </c:dPt>
          <c:dPt>
            <c:idx val="1"/>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D-6D9F-4CAE-8E27-80F67C4F2925}"/>
              </c:ext>
            </c:extLst>
          </c:dPt>
          <c:dPt>
            <c:idx val="2"/>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F-6D9F-4CAE-8E27-80F67C4F2925}"/>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管理者用グラフシート!$J$4:$J$10</c:f>
              <c:numCache>
                <c:formatCode>#,##0_);[Red]\(#,##0\)</c:formatCode>
                <c:ptCount val="7"/>
                <c:pt idx="0">
                  <c:v>416</c:v>
                </c:pt>
                <c:pt idx="1">
                  <c:v>398</c:v>
                </c:pt>
                <c:pt idx="2">
                  <c:v>375</c:v>
                </c:pt>
                <c:pt idx="3">
                  <c:v>345</c:v>
                </c:pt>
                <c:pt idx="4">
                  <c:v>314</c:v>
                </c:pt>
                <c:pt idx="5">
                  <c:v>289</c:v>
                </c:pt>
                <c:pt idx="6">
                  <c:v>256</c:v>
                </c:pt>
              </c:numCache>
            </c:numRef>
          </c:val>
          <c:extLst xmlns:c16r2="http://schemas.microsoft.com/office/drawing/2015/06/chart">
            <c:ext xmlns:c16="http://schemas.microsoft.com/office/drawing/2014/chart" uri="{C3380CC4-5D6E-409C-BE32-E72D297353CC}">
              <c16:uniqueId val="{00000010-6D9F-4CAE-8E27-80F67C4F2925}"/>
            </c:ext>
          </c:extLst>
        </c:ser>
        <c:dLbls>
          <c:showLegendKey val="0"/>
          <c:showVal val="0"/>
          <c:showCatName val="0"/>
          <c:showSerName val="0"/>
          <c:showPercent val="0"/>
          <c:showBubbleSize val="0"/>
        </c:dLbls>
        <c:gapWidth val="219"/>
        <c:overlap val="100"/>
        <c:axId val="389561232"/>
        <c:axId val="389556528"/>
      </c:barChart>
      <c:lineChart>
        <c:grouping val="standard"/>
        <c:varyColors val="0"/>
        <c:ser>
          <c:idx val="2"/>
          <c:order val="2"/>
          <c:tx>
            <c:strRef>
              <c:f>管理者用グラフシート!$K$3</c:f>
              <c:strCache>
                <c:ptCount val="1"/>
                <c:pt idx="0">
                  <c:v>計</c:v>
                </c:pt>
              </c:strCache>
            </c:strRef>
          </c:tx>
          <c:spPr>
            <a:ln w="28575" cap="rnd">
              <a:noFill/>
              <a:round/>
            </a:ln>
            <a:effectLst/>
          </c:spPr>
          <c:marker>
            <c:symbol val="none"/>
          </c:marker>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管理者用グラフシート!$K$4:$K$10</c:f>
              <c:numCache>
                <c:formatCode>#,##0_);[Red]\(#,##0\)</c:formatCode>
                <c:ptCount val="7"/>
                <c:pt idx="0">
                  <c:v>783</c:v>
                </c:pt>
                <c:pt idx="1">
                  <c:v>755</c:v>
                </c:pt>
                <c:pt idx="2">
                  <c:v>696</c:v>
                </c:pt>
                <c:pt idx="3">
                  <c:v>633</c:v>
                </c:pt>
                <c:pt idx="4">
                  <c:v>562</c:v>
                </c:pt>
                <c:pt idx="5">
                  <c:v>500</c:v>
                </c:pt>
                <c:pt idx="6">
                  <c:v>435</c:v>
                </c:pt>
              </c:numCache>
            </c:numRef>
          </c:val>
          <c:smooth val="0"/>
          <c:extLst xmlns:c16r2="http://schemas.microsoft.com/office/drawing/2015/06/chart">
            <c:ext xmlns:c16="http://schemas.microsoft.com/office/drawing/2014/chart" uri="{C3380CC4-5D6E-409C-BE32-E72D297353CC}">
              <c16:uniqueId val="{00000011-6D9F-4CAE-8E27-80F67C4F2925}"/>
            </c:ext>
          </c:extLst>
        </c:ser>
        <c:dLbls>
          <c:showLegendKey val="0"/>
          <c:showVal val="0"/>
          <c:showCatName val="0"/>
          <c:showSerName val="0"/>
          <c:showPercent val="0"/>
          <c:showBubbleSize val="0"/>
        </c:dLbls>
        <c:marker val="1"/>
        <c:smooth val="0"/>
        <c:axId val="389561232"/>
        <c:axId val="389556528"/>
      </c:lineChart>
      <c:catAx>
        <c:axId val="38956123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9556528"/>
        <c:crosses val="autoZero"/>
        <c:auto val="1"/>
        <c:lblAlgn val="ctr"/>
        <c:lblOffset val="100"/>
        <c:noMultiLvlLbl val="0"/>
      </c:catAx>
      <c:valAx>
        <c:axId val="389556528"/>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9561232"/>
        <c:crosses val="autoZero"/>
        <c:crossBetween val="between"/>
      </c:valAx>
      <c:spPr>
        <a:noFill/>
        <a:ln>
          <a:noFill/>
        </a:ln>
        <a:effectLst/>
      </c:spPr>
    </c:plotArea>
    <c:legend>
      <c:legendPos val="t"/>
      <c:legendEntry>
        <c:idx val="2"/>
        <c:delete val="1"/>
      </c:legendEntry>
      <c:layout>
        <c:manualLayout>
          <c:xMode val="edge"/>
          <c:yMode val="edge"/>
          <c:x val="0.72703144553491028"/>
          <c:y val="7.7324734041008467E-2"/>
          <c:w val="0.23490616001108577"/>
          <c:h val="5.0177585705768149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D739-49E9-A78D-2016D6427401}"/>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D739-49E9-A78D-2016D6427401}"/>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D739-49E9-A78D-2016D6427401}"/>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D739-49E9-A78D-2016D6427401}"/>
              </c:ext>
            </c:extLst>
          </c:dPt>
          <c:dLbls>
            <c:dLbl>
              <c:idx val="4"/>
              <c:layout>
                <c:manualLayout>
                  <c:x val="-8.5328692542462065E-17"/>
                  <c:y val="-1.18881131973033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D739-49E9-A78D-2016D642740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管理者用グラフシート!$H$14:$H$20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管理者用グラフシート!$I$14:$I$20</c:f>
              <c:numCache>
                <c:formatCode>#,##0_);[Red]\(#,##0\)</c:formatCode>
                <c:ptCount val="7"/>
                <c:pt idx="0">
                  <c:v>34</c:v>
                </c:pt>
                <c:pt idx="1">
                  <c:v>31</c:v>
                </c:pt>
                <c:pt idx="2">
                  <c:v>36</c:v>
                </c:pt>
                <c:pt idx="3">
                  <c:v>33</c:v>
                </c:pt>
                <c:pt idx="4">
                  <c:v>26</c:v>
                </c:pt>
                <c:pt idx="5">
                  <c:v>22</c:v>
                </c:pt>
                <c:pt idx="6">
                  <c:v>21</c:v>
                </c:pt>
              </c:numCache>
            </c:numRef>
          </c:val>
          <c:extLst xmlns:c16r2="http://schemas.microsoft.com/office/drawing/2015/06/chart">
            <c:ext xmlns:c16="http://schemas.microsoft.com/office/drawing/2014/chart" uri="{C3380CC4-5D6E-409C-BE32-E72D297353CC}">
              <c16:uniqueId val="{00000008-D739-49E9-A78D-2016D6427401}"/>
            </c:ext>
          </c:extLst>
        </c:ser>
        <c:dLbls>
          <c:showLegendKey val="0"/>
          <c:showVal val="0"/>
          <c:showCatName val="0"/>
          <c:showSerName val="0"/>
          <c:showPercent val="0"/>
          <c:showBubbleSize val="0"/>
        </c:dLbls>
        <c:gapWidth val="219"/>
        <c:overlap val="-27"/>
        <c:axId val="389559664"/>
        <c:axId val="389554176"/>
      </c:barChart>
      <c:catAx>
        <c:axId val="38955966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9554176"/>
        <c:crosses val="autoZero"/>
        <c:auto val="1"/>
        <c:lblAlgn val="ctr"/>
        <c:lblOffset val="100"/>
        <c:noMultiLvlLbl val="0"/>
      </c:catAx>
      <c:valAx>
        <c:axId val="389554176"/>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9559664"/>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0.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1.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2.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3.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4.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5.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6.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7.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8.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9.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3.xml.rels><?xml version="1.0" encoding="UTF-8" standalone="yes"?>
<Relationships xmlns="http://schemas.openxmlformats.org/package/2006/relationships"><Relationship Id="rId8" Type="http://schemas.openxmlformats.org/officeDocument/2006/relationships/image" Target="../media/image4.png"/><Relationship Id="rId13" Type="http://schemas.openxmlformats.org/officeDocument/2006/relationships/chart" Target="../charts/chart23.xml"/><Relationship Id="rId3" Type="http://schemas.openxmlformats.org/officeDocument/2006/relationships/chart" Target="../charts/chart15.xml"/><Relationship Id="rId7" Type="http://schemas.openxmlformats.org/officeDocument/2006/relationships/chart" Target="../charts/chart19.xml"/><Relationship Id="rId12" Type="http://schemas.openxmlformats.org/officeDocument/2006/relationships/chart" Target="../charts/chart22.xml"/><Relationship Id="rId2" Type="http://schemas.openxmlformats.org/officeDocument/2006/relationships/image" Target="../media/image2.png"/><Relationship Id="rId1" Type="http://schemas.openxmlformats.org/officeDocument/2006/relationships/image" Target="../media/image6.png"/><Relationship Id="rId6" Type="http://schemas.openxmlformats.org/officeDocument/2006/relationships/chart" Target="../charts/chart18.xml"/><Relationship Id="rId11" Type="http://schemas.openxmlformats.org/officeDocument/2006/relationships/chart" Target="../charts/chart21.xml"/><Relationship Id="rId5" Type="http://schemas.openxmlformats.org/officeDocument/2006/relationships/chart" Target="../charts/chart17.xml"/><Relationship Id="rId10" Type="http://schemas.openxmlformats.org/officeDocument/2006/relationships/chart" Target="../charts/chart20.xml"/><Relationship Id="rId4" Type="http://schemas.openxmlformats.org/officeDocument/2006/relationships/chart" Target="../charts/chart16.xml"/><Relationship Id="rId9" Type="http://schemas.openxmlformats.org/officeDocument/2006/relationships/image" Target="../media/image3.png"/></Relationships>
</file>

<file path=xl/drawings/_rels/drawing18.xml.rels><?xml version="1.0" encoding="UTF-8" standalone="yes"?>
<Relationships xmlns="http://schemas.openxmlformats.org/package/2006/relationships"><Relationship Id="rId8" Type="http://schemas.openxmlformats.org/officeDocument/2006/relationships/image" Target="../media/image3.png"/><Relationship Id="rId3" Type="http://schemas.openxmlformats.org/officeDocument/2006/relationships/chart" Target="../charts/chart26.xml"/><Relationship Id="rId7" Type="http://schemas.openxmlformats.org/officeDocument/2006/relationships/chart" Target="../charts/chart29.xml"/><Relationship Id="rId2" Type="http://schemas.openxmlformats.org/officeDocument/2006/relationships/chart" Target="../charts/chart25.xml"/><Relationship Id="rId1" Type="http://schemas.openxmlformats.org/officeDocument/2006/relationships/chart" Target="../charts/chart24.xml"/><Relationship Id="rId6" Type="http://schemas.openxmlformats.org/officeDocument/2006/relationships/chart" Target="../charts/chart28.xml"/><Relationship Id="rId5" Type="http://schemas.openxmlformats.org/officeDocument/2006/relationships/chart" Target="../charts/chart27.xml"/><Relationship Id="rId10" Type="http://schemas.openxmlformats.org/officeDocument/2006/relationships/image" Target="../media/image6.png"/><Relationship Id="rId4" Type="http://schemas.openxmlformats.org/officeDocument/2006/relationships/image" Target="../media/image4.png"/><Relationship Id="rId9" Type="http://schemas.openxmlformats.org/officeDocument/2006/relationships/image" Target="../media/image2.png"/></Relationships>
</file>

<file path=xl/drawings/_rels/drawing19.xml.rels><?xml version="1.0" encoding="UTF-8" standalone="yes"?>
<Relationships xmlns="http://schemas.openxmlformats.org/package/2006/relationships"><Relationship Id="rId1" Type="http://schemas.openxmlformats.org/officeDocument/2006/relationships/image" Target="../media/image6.png"/></Relationships>
</file>

<file path=xl/drawings/_rels/drawing2.xml.rels><?xml version="1.0" encoding="UTF-8" standalone="yes"?>
<Relationships xmlns="http://schemas.openxmlformats.org/package/2006/relationships"><Relationship Id="rId8" Type="http://schemas.openxmlformats.org/officeDocument/2006/relationships/chart" Target="../charts/chart6.xml"/><Relationship Id="rId3" Type="http://schemas.openxmlformats.org/officeDocument/2006/relationships/chart" Target="../charts/chart1.xml"/><Relationship Id="rId7" Type="http://schemas.openxmlformats.org/officeDocument/2006/relationships/chart" Target="../charts/chart5.xml"/><Relationship Id="rId2" Type="http://schemas.openxmlformats.org/officeDocument/2006/relationships/image" Target="../media/image3.png"/><Relationship Id="rId1" Type="http://schemas.openxmlformats.org/officeDocument/2006/relationships/image" Target="../media/image2.png"/><Relationship Id="rId6" Type="http://schemas.openxmlformats.org/officeDocument/2006/relationships/chart" Target="../charts/chart4.xml"/><Relationship Id="rId5" Type="http://schemas.openxmlformats.org/officeDocument/2006/relationships/chart" Target="../charts/chart3.xml"/><Relationship Id="rId10" Type="http://schemas.openxmlformats.org/officeDocument/2006/relationships/chart" Target="../charts/chart7.xml"/><Relationship Id="rId4" Type="http://schemas.openxmlformats.org/officeDocument/2006/relationships/chart" Target="../charts/chart2.xml"/><Relationship Id="rId9" Type="http://schemas.openxmlformats.org/officeDocument/2006/relationships/image" Target="../media/image4.png"/></Relationships>
</file>

<file path=xl/drawings/_rels/drawing8.xml.rels><?xml version="1.0" encoding="UTF-8" standalone="yes"?>
<Relationships xmlns="http://schemas.openxmlformats.org/package/2006/relationships"><Relationship Id="rId8" Type="http://schemas.openxmlformats.org/officeDocument/2006/relationships/image" Target="../media/image3.png"/><Relationship Id="rId3" Type="http://schemas.openxmlformats.org/officeDocument/2006/relationships/chart" Target="../charts/chart9.xml"/><Relationship Id="rId7" Type="http://schemas.openxmlformats.org/officeDocument/2006/relationships/image" Target="../media/image5.png"/><Relationship Id="rId2" Type="http://schemas.openxmlformats.org/officeDocument/2006/relationships/image" Target="../media/image2.png"/><Relationship Id="rId1" Type="http://schemas.openxmlformats.org/officeDocument/2006/relationships/chart" Target="../charts/chart8.xml"/><Relationship Id="rId6" Type="http://schemas.openxmlformats.org/officeDocument/2006/relationships/chart" Target="../charts/chart12.xml"/><Relationship Id="rId11" Type="http://schemas.openxmlformats.org/officeDocument/2006/relationships/image" Target="../media/image6.png"/><Relationship Id="rId5" Type="http://schemas.openxmlformats.org/officeDocument/2006/relationships/chart" Target="../charts/chart11.xml"/><Relationship Id="rId10" Type="http://schemas.openxmlformats.org/officeDocument/2006/relationships/chart" Target="../charts/chart14.xml"/><Relationship Id="rId4" Type="http://schemas.openxmlformats.org/officeDocument/2006/relationships/chart" Target="../charts/chart10.xml"/><Relationship Id="rId9" Type="http://schemas.openxmlformats.org/officeDocument/2006/relationships/chart" Target="../charts/chart13.xml"/></Relationships>
</file>

<file path=xl/drawings/drawing1.xml><?xml version="1.0" encoding="utf-8"?>
<xdr:wsDr xmlns:xdr="http://schemas.openxmlformats.org/drawingml/2006/spreadsheetDrawing" xmlns:a="http://schemas.openxmlformats.org/drawingml/2006/main">
  <xdr:twoCellAnchor editAs="oneCell">
    <xdr:from>
      <xdr:col>7</xdr:col>
      <xdr:colOff>236434</xdr:colOff>
      <xdr:row>0</xdr:row>
      <xdr:rowOff>174800</xdr:rowOff>
    </xdr:from>
    <xdr:to>
      <xdr:col>9</xdr:col>
      <xdr:colOff>465437</xdr:colOff>
      <xdr:row>4</xdr:row>
      <xdr:rowOff>129538</xdr:rowOff>
    </xdr:to>
    <xdr:pic>
      <xdr:nvPicPr>
        <xdr:cNvPr id="2" name="図 1">
          <a:extLst>
            <a:ext uri="{FF2B5EF4-FFF2-40B4-BE49-F238E27FC236}">
              <a16:creationId xmlns=""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21346" y="174800"/>
          <a:ext cx="1596120" cy="13666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0.xml><?xml version="1.0" encoding="utf-8"?>
<c:userShapes xmlns:c="http://schemas.openxmlformats.org/drawingml/2006/chart">
  <cdr:relSizeAnchor xmlns:cdr="http://schemas.openxmlformats.org/drawingml/2006/chartDrawing">
    <cdr:from>
      <cdr:x>0.00948</cdr:x>
      <cdr:y>0.01585</cdr:y>
    </cdr:from>
    <cdr:to>
      <cdr:x>0.15802</cdr:x>
      <cdr:y>0.11375</cdr:y>
    </cdr:to>
    <cdr:sp macro="" textlink="">
      <cdr:nvSpPr>
        <cdr:cNvPr id="2" name="テキスト ボックス 13"/>
        <cdr:cNvSpPr txBox="1"/>
      </cdr:nvSpPr>
      <cdr:spPr>
        <a:xfrm xmlns:a="http://schemas.openxmlformats.org/drawingml/2006/main">
          <a:off x="50800" y="50800"/>
          <a:ext cx="795617" cy="313764"/>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1.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2.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dr:relSizeAnchor xmlns:cdr="http://schemas.openxmlformats.org/drawingml/2006/chartDrawing">
    <cdr:from>
      <cdr:x>0.86</cdr:x>
      <cdr:y>0.03391</cdr:y>
    </cdr:from>
    <cdr:to>
      <cdr:x>1</cdr:x>
      <cdr:y>0.07838</cdr:y>
    </cdr:to>
    <cdr:sp macro="" textlink="">
      <cdr:nvSpPr>
        <cdr:cNvPr id="3" name="テキスト ボックス 1"/>
        <cdr:cNvSpPr txBox="1"/>
      </cdr:nvSpPr>
      <cdr:spPr>
        <a:xfrm xmlns:a="http://schemas.openxmlformats.org/drawingml/2006/main">
          <a:off x="4885989" y="263712"/>
          <a:ext cx="795393" cy="34583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3.xml><?xml version="1.0" encoding="utf-8"?>
<xdr:wsDr xmlns:xdr="http://schemas.openxmlformats.org/drawingml/2006/spreadsheetDrawing" xmlns:a="http://schemas.openxmlformats.org/drawingml/2006/main">
  <xdr:twoCellAnchor editAs="oneCell">
    <xdr:from>
      <xdr:col>6</xdr:col>
      <xdr:colOff>653459</xdr:colOff>
      <xdr:row>205</xdr:row>
      <xdr:rowOff>0</xdr:rowOff>
    </xdr:from>
    <xdr:to>
      <xdr:col>8</xdr:col>
      <xdr:colOff>613600</xdr:colOff>
      <xdr:row>208</xdr:row>
      <xdr:rowOff>246683</xdr:rowOff>
    </xdr:to>
    <xdr:pic>
      <xdr:nvPicPr>
        <xdr:cNvPr id="29" name="図 28">
          <a:extLst>
            <a:ext uri="{FF2B5EF4-FFF2-40B4-BE49-F238E27FC236}">
              <a16:creationId xmlns="" xmlns:a16="http://schemas.microsoft.com/office/drawing/2014/main" id="{00000000-0008-0000-0300-00001D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161221" y="57980669"/>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553778</xdr:colOff>
      <xdr:row>171</xdr:row>
      <xdr:rowOff>265813</xdr:rowOff>
    </xdr:from>
    <xdr:to>
      <xdr:col>8</xdr:col>
      <xdr:colOff>513919</xdr:colOff>
      <xdr:row>175</xdr:row>
      <xdr:rowOff>224530</xdr:rowOff>
    </xdr:to>
    <xdr:pic>
      <xdr:nvPicPr>
        <xdr:cNvPr id="24" name="図 23">
          <a:extLst>
            <a:ext uri="{FF2B5EF4-FFF2-40B4-BE49-F238E27FC236}">
              <a16:creationId xmlns="" xmlns:a16="http://schemas.microsoft.com/office/drawing/2014/main" id="{00000000-0008-0000-0300-000018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61540" y="48455668"/>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753140</xdr:colOff>
      <xdr:row>137</xdr:row>
      <xdr:rowOff>210436</xdr:rowOff>
    </xdr:from>
    <xdr:to>
      <xdr:col>8</xdr:col>
      <xdr:colOff>713879</xdr:colOff>
      <xdr:row>141</xdr:row>
      <xdr:rowOff>236671</xdr:rowOff>
    </xdr:to>
    <xdr:pic>
      <xdr:nvPicPr>
        <xdr:cNvPr id="17" name="図 16">
          <a:extLst>
            <a:ext uri="{FF2B5EF4-FFF2-40B4-BE49-F238E27FC236}">
              <a16:creationId xmlns="" xmlns:a16="http://schemas.microsoft.com/office/drawing/2014/main" id="{00000000-0008-0000-0300-000011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025117" y="38387965"/>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66453</xdr:colOff>
      <xdr:row>47</xdr:row>
      <xdr:rowOff>201132</xdr:rowOff>
    </xdr:from>
    <xdr:to>
      <xdr:col>8</xdr:col>
      <xdr:colOff>598081</xdr:colOff>
      <xdr:row>69</xdr:row>
      <xdr:rowOff>188285</xdr:rowOff>
    </xdr:to>
    <xdr:graphicFrame macro="">
      <xdr:nvGraphicFramePr>
        <xdr:cNvPr id="2" name="グラフ 1">
          <a:extLst>
            <a:ext uri="{FF2B5EF4-FFF2-40B4-BE49-F238E27FC236}">
              <a16:creationId xmlns="" xmlns:a16="http://schemas.microsoft.com/office/drawing/2014/main" id="{00000000-0008-0000-03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0</xdr:colOff>
      <xdr:row>83</xdr:row>
      <xdr:rowOff>132907</xdr:rowOff>
    </xdr:from>
    <xdr:to>
      <xdr:col>7</xdr:col>
      <xdr:colOff>642383</xdr:colOff>
      <xdr:row>96</xdr:row>
      <xdr:rowOff>44302</xdr:rowOff>
    </xdr:to>
    <xdr:graphicFrame macro="">
      <xdr:nvGraphicFramePr>
        <xdr:cNvPr id="3" name="グラフ 2">
          <a:extLst>
            <a:ext uri="{FF2B5EF4-FFF2-40B4-BE49-F238E27FC236}">
              <a16:creationId xmlns="" xmlns:a16="http://schemas.microsoft.com/office/drawing/2014/main" id="{00000000-0008-0000-03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0</xdr:colOff>
      <xdr:row>117</xdr:row>
      <xdr:rowOff>136070</xdr:rowOff>
    </xdr:from>
    <xdr:to>
      <xdr:col>7</xdr:col>
      <xdr:colOff>753139</xdr:colOff>
      <xdr:row>129</xdr:row>
      <xdr:rowOff>56326</xdr:rowOff>
    </xdr:to>
    <xdr:graphicFrame macro="">
      <xdr:nvGraphicFramePr>
        <xdr:cNvPr id="6" name="グラフ 5">
          <a:extLst>
            <a:ext uri="{FF2B5EF4-FFF2-40B4-BE49-F238E27FC236}">
              <a16:creationId xmlns="" xmlns:a16="http://schemas.microsoft.com/office/drawing/2014/main" id="{00000000-0008-0000-03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0</xdr:colOff>
      <xdr:row>129</xdr:row>
      <xdr:rowOff>146197</xdr:rowOff>
    </xdr:from>
    <xdr:to>
      <xdr:col>7</xdr:col>
      <xdr:colOff>753139</xdr:colOff>
      <xdr:row>141</xdr:row>
      <xdr:rowOff>66452</xdr:rowOff>
    </xdr:to>
    <xdr:graphicFrame macro="">
      <xdr:nvGraphicFramePr>
        <xdr:cNvPr id="8" name="グラフ 7">
          <a:extLst>
            <a:ext uri="{FF2B5EF4-FFF2-40B4-BE49-F238E27FC236}">
              <a16:creationId xmlns="" xmlns:a16="http://schemas.microsoft.com/office/drawing/2014/main" id="{00000000-0008-0000-03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0</xdr:colOff>
      <xdr:row>96</xdr:row>
      <xdr:rowOff>77530</xdr:rowOff>
    </xdr:from>
    <xdr:to>
      <xdr:col>7</xdr:col>
      <xdr:colOff>642383</xdr:colOff>
      <xdr:row>108</xdr:row>
      <xdr:rowOff>254739</xdr:rowOff>
    </xdr:to>
    <xdr:graphicFrame macro="">
      <xdr:nvGraphicFramePr>
        <xdr:cNvPr id="13" name="グラフ 12">
          <a:extLst>
            <a:ext uri="{FF2B5EF4-FFF2-40B4-BE49-F238E27FC236}">
              <a16:creationId xmlns="" xmlns:a16="http://schemas.microsoft.com/office/drawing/2014/main" id="{00000000-0008-0000-03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3</xdr:col>
      <xdr:colOff>232586</xdr:colOff>
      <xdr:row>18</xdr:row>
      <xdr:rowOff>99681</xdr:rowOff>
    </xdr:from>
    <xdr:to>
      <xdr:col>4</xdr:col>
      <xdr:colOff>620231</xdr:colOff>
      <xdr:row>23</xdr:row>
      <xdr:rowOff>44303</xdr:rowOff>
    </xdr:to>
    <xdr:sp macro="" textlink="">
      <xdr:nvSpPr>
        <xdr:cNvPr id="4" name="右矢印 3">
          <a:extLst>
            <a:ext uri="{FF2B5EF4-FFF2-40B4-BE49-F238E27FC236}">
              <a16:creationId xmlns="" xmlns:a16="http://schemas.microsoft.com/office/drawing/2014/main" id="{00000000-0008-0000-0300-000004000000}"/>
            </a:ext>
          </a:extLst>
        </xdr:cNvPr>
        <xdr:cNvSpPr/>
      </xdr:nvSpPr>
      <xdr:spPr>
        <a:xfrm>
          <a:off x="2458778" y="4851105"/>
          <a:ext cx="1074331" cy="1162936"/>
        </a:xfrm>
        <a:prstGeom prst="rightArrow">
          <a:avLst/>
        </a:prstGeom>
        <a:solidFill>
          <a:schemeClr val="accent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431819</xdr:colOff>
      <xdr:row>49</xdr:row>
      <xdr:rowOff>190108</xdr:rowOff>
    </xdr:from>
    <xdr:to>
      <xdr:col>1</xdr:col>
      <xdr:colOff>463221</xdr:colOff>
      <xdr:row>50</xdr:row>
      <xdr:rowOff>215907</xdr:rowOff>
    </xdr:to>
    <xdr:sp macro="" textlink="">
      <xdr:nvSpPr>
        <xdr:cNvPr id="14" name="テキスト ボックス 13">
          <a:extLst>
            <a:ext uri="{FF2B5EF4-FFF2-40B4-BE49-F238E27FC236}">
              <a16:creationId xmlns="" xmlns:a16="http://schemas.microsoft.com/office/drawing/2014/main" id="{00000000-0008-0000-0300-00000E000000}"/>
            </a:ext>
          </a:extLst>
        </xdr:cNvPr>
        <xdr:cNvSpPr txBox="1"/>
      </xdr:nvSpPr>
      <xdr:spPr>
        <a:xfrm>
          <a:off x="431819" y="12852755"/>
          <a:ext cx="793402" cy="31715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7</xdr:col>
      <xdr:colOff>564854</xdr:colOff>
      <xdr:row>69</xdr:row>
      <xdr:rowOff>221511</xdr:rowOff>
    </xdr:from>
    <xdr:to>
      <xdr:col>8</xdr:col>
      <xdr:colOff>627687</xdr:colOff>
      <xdr:row>74</xdr:row>
      <xdr:rowOff>232734</xdr:rowOff>
    </xdr:to>
    <xdr:pic>
      <xdr:nvPicPr>
        <xdr:cNvPr id="15" name="図 14">
          <a:extLst>
            <a:ext uri="{FF2B5EF4-FFF2-40B4-BE49-F238E27FC236}">
              <a16:creationId xmlns="" xmlns:a16="http://schemas.microsoft.com/office/drawing/2014/main" id="{00000000-0008-0000-0300-00000F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836831" y="18374389"/>
          <a:ext cx="827048" cy="145104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686686</xdr:colOff>
      <xdr:row>103</xdr:row>
      <xdr:rowOff>132908</xdr:rowOff>
    </xdr:from>
    <xdr:to>
      <xdr:col>8</xdr:col>
      <xdr:colOff>702947</xdr:colOff>
      <xdr:row>108</xdr:row>
      <xdr:rowOff>123460</xdr:rowOff>
    </xdr:to>
    <xdr:pic>
      <xdr:nvPicPr>
        <xdr:cNvPr id="16" name="図 15">
          <a:extLst>
            <a:ext uri="{FF2B5EF4-FFF2-40B4-BE49-F238E27FC236}">
              <a16:creationId xmlns="" xmlns:a16="http://schemas.microsoft.com/office/drawing/2014/main" id="{00000000-0008-0000-0300-000010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958663" y="28298111"/>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188284</xdr:colOff>
      <xdr:row>85</xdr:row>
      <xdr:rowOff>44302</xdr:rowOff>
    </xdr:from>
    <xdr:to>
      <xdr:col>1</xdr:col>
      <xdr:colOff>219686</xdr:colOff>
      <xdr:row>86</xdr:row>
      <xdr:rowOff>70100</xdr:rowOff>
    </xdr:to>
    <xdr:sp macro="" textlink="">
      <xdr:nvSpPr>
        <xdr:cNvPr id="18" name="テキスト ボックス 17">
          <a:extLst>
            <a:ext uri="{FF2B5EF4-FFF2-40B4-BE49-F238E27FC236}">
              <a16:creationId xmlns="" xmlns:a16="http://schemas.microsoft.com/office/drawing/2014/main" id="{00000000-0008-0000-0300-000012000000}"/>
            </a:ext>
          </a:extLst>
        </xdr:cNvPr>
        <xdr:cNvSpPr txBox="1"/>
      </xdr:nvSpPr>
      <xdr:spPr>
        <a:xfrm>
          <a:off x="188284" y="23026133"/>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98377</xdr:colOff>
      <xdr:row>97</xdr:row>
      <xdr:rowOff>246268</xdr:rowOff>
    </xdr:from>
    <xdr:to>
      <xdr:col>1</xdr:col>
      <xdr:colOff>129779</xdr:colOff>
      <xdr:row>98</xdr:row>
      <xdr:rowOff>272067</xdr:rowOff>
    </xdr:to>
    <xdr:sp macro="" textlink="">
      <xdr:nvSpPr>
        <xdr:cNvPr id="19" name="テキスト ボックス 18">
          <a:extLst>
            <a:ext uri="{FF2B5EF4-FFF2-40B4-BE49-F238E27FC236}">
              <a16:creationId xmlns="" xmlns:a16="http://schemas.microsoft.com/office/drawing/2014/main" id="{00000000-0008-0000-0300-000013000000}"/>
            </a:ext>
          </a:extLst>
        </xdr:cNvPr>
        <xdr:cNvSpPr txBox="1"/>
      </xdr:nvSpPr>
      <xdr:spPr>
        <a:xfrm>
          <a:off x="98377" y="27117974"/>
          <a:ext cx="793402" cy="31715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0</xdr:colOff>
      <xdr:row>145</xdr:row>
      <xdr:rowOff>0</xdr:rowOff>
    </xdr:from>
    <xdr:to>
      <xdr:col>7</xdr:col>
      <xdr:colOff>475859</xdr:colOff>
      <xdr:row>172</xdr:row>
      <xdr:rowOff>1826</xdr:rowOff>
    </xdr:to>
    <xdr:graphicFrame macro="">
      <xdr:nvGraphicFramePr>
        <xdr:cNvPr id="20" name="グラフ 19">
          <a:extLst>
            <a:ext uri="{FF2B5EF4-FFF2-40B4-BE49-F238E27FC236}">
              <a16:creationId xmlns="" xmlns:a16="http://schemas.microsoft.com/office/drawing/2014/main" id="{00000000-0008-0000-0300-00001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6</xdr:col>
      <xdr:colOff>465174</xdr:colOff>
      <xdr:row>145</xdr:row>
      <xdr:rowOff>143982</xdr:rowOff>
    </xdr:from>
    <xdr:to>
      <xdr:col>7</xdr:col>
      <xdr:colOff>496352</xdr:colOff>
      <xdr:row>146</xdr:row>
      <xdr:rowOff>201855</xdr:rowOff>
    </xdr:to>
    <xdr:sp macro="" textlink="">
      <xdr:nvSpPr>
        <xdr:cNvPr id="21" name="テキスト ボックス 1">
          <a:extLst>
            <a:ext uri="{FF2B5EF4-FFF2-40B4-BE49-F238E27FC236}">
              <a16:creationId xmlns="" xmlns:a16="http://schemas.microsoft.com/office/drawing/2014/main" id="{00000000-0008-0000-0300-000015000000}"/>
            </a:ext>
          </a:extLst>
        </xdr:cNvPr>
        <xdr:cNvSpPr txBox="1"/>
      </xdr:nvSpPr>
      <xdr:spPr>
        <a:xfrm>
          <a:off x="4972936" y="40846744"/>
          <a:ext cx="795393" cy="3458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332268</xdr:colOff>
      <xdr:row>147</xdr:row>
      <xdr:rowOff>265814</xdr:rowOff>
    </xdr:from>
    <xdr:to>
      <xdr:col>2</xdr:col>
      <xdr:colOff>126133</xdr:colOff>
      <xdr:row>149</xdr:row>
      <xdr:rowOff>261384</xdr:rowOff>
    </xdr:to>
    <xdr:sp macro="" textlink="">
      <xdr:nvSpPr>
        <xdr:cNvPr id="22" name="テキスト ボックス 21">
          <a:extLst>
            <a:ext uri="{FF2B5EF4-FFF2-40B4-BE49-F238E27FC236}">
              <a16:creationId xmlns="" xmlns:a16="http://schemas.microsoft.com/office/drawing/2014/main" id="{00000000-0008-0000-0300-000016000000}"/>
            </a:ext>
          </a:extLst>
        </xdr:cNvPr>
        <xdr:cNvSpPr txBox="1"/>
      </xdr:nvSpPr>
      <xdr:spPr>
        <a:xfrm>
          <a:off x="332268" y="41544506"/>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149977</xdr:colOff>
      <xdr:row>148</xdr:row>
      <xdr:rowOff>11467</xdr:rowOff>
    </xdr:from>
    <xdr:to>
      <xdr:col>7</xdr:col>
      <xdr:colOff>271027</xdr:colOff>
      <xdr:row>150</xdr:row>
      <xdr:rowOff>7037</xdr:rowOff>
    </xdr:to>
    <xdr:sp macro="" textlink="">
      <xdr:nvSpPr>
        <xdr:cNvPr id="23" name="テキスト ボックス 22">
          <a:extLst>
            <a:ext uri="{FF2B5EF4-FFF2-40B4-BE49-F238E27FC236}">
              <a16:creationId xmlns="" xmlns:a16="http://schemas.microsoft.com/office/drawing/2014/main" id="{00000000-0008-0000-0300-000017000000}"/>
            </a:ext>
          </a:extLst>
        </xdr:cNvPr>
        <xdr:cNvSpPr txBox="1"/>
      </xdr:nvSpPr>
      <xdr:spPr>
        <a:xfrm>
          <a:off x="4657739" y="41578124"/>
          <a:ext cx="88526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FF"/>
              </a:solidFill>
              <a:latin typeface="HG丸ｺﾞｼｯｸM-PRO" panose="020F0600000000000000" pitchFamily="50" charset="-128"/>
              <a:ea typeface="HG丸ｺﾞｼｯｸM-PRO" panose="020F0600000000000000" pitchFamily="50" charset="-128"/>
            </a:rPr>
            <a:t>女性</a:t>
          </a:r>
        </a:p>
      </xdr:txBody>
    </xdr:sp>
    <xdr:clientData/>
  </xdr:twoCellAnchor>
  <xdr:twoCellAnchor editAs="oneCell">
    <xdr:from>
      <xdr:col>0</xdr:col>
      <xdr:colOff>0</xdr:colOff>
      <xdr:row>178</xdr:row>
      <xdr:rowOff>0</xdr:rowOff>
    </xdr:from>
    <xdr:to>
      <xdr:col>7</xdr:col>
      <xdr:colOff>475859</xdr:colOff>
      <xdr:row>205</xdr:row>
      <xdr:rowOff>1827</xdr:rowOff>
    </xdr:to>
    <xdr:graphicFrame macro="">
      <xdr:nvGraphicFramePr>
        <xdr:cNvPr id="25" name="グラフ 24">
          <a:extLst>
            <a:ext uri="{FF2B5EF4-FFF2-40B4-BE49-F238E27FC236}">
              <a16:creationId xmlns="" xmlns:a16="http://schemas.microsoft.com/office/drawing/2014/main" id="{00000000-0008-0000-0300-00001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0</xdr:col>
      <xdr:colOff>276890</xdr:colOff>
      <xdr:row>180</xdr:row>
      <xdr:rowOff>221512</xdr:rowOff>
    </xdr:from>
    <xdr:to>
      <xdr:col>2</xdr:col>
      <xdr:colOff>70755</xdr:colOff>
      <xdr:row>182</xdr:row>
      <xdr:rowOff>217082</xdr:rowOff>
    </xdr:to>
    <xdr:sp macro="" textlink="">
      <xdr:nvSpPr>
        <xdr:cNvPr id="26" name="テキスト ボックス 25">
          <a:extLst>
            <a:ext uri="{FF2B5EF4-FFF2-40B4-BE49-F238E27FC236}">
              <a16:creationId xmlns="" xmlns:a16="http://schemas.microsoft.com/office/drawing/2014/main" id="{00000000-0008-0000-0300-00001A000000}"/>
            </a:ext>
          </a:extLst>
        </xdr:cNvPr>
        <xdr:cNvSpPr txBox="1"/>
      </xdr:nvSpPr>
      <xdr:spPr>
        <a:xfrm>
          <a:off x="276890" y="51003053"/>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94599</xdr:colOff>
      <xdr:row>180</xdr:row>
      <xdr:rowOff>255130</xdr:rowOff>
    </xdr:from>
    <xdr:to>
      <xdr:col>7</xdr:col>
      <xdr:colOff>215649</xdr:colOff>
      <xdr:row>182</xdr:row>
      <xdr:rowOff>250700</xdr:rowOff>
    </xdr:to>
    <xdr:sp macro="" textlink="">
      <xdr:nvSpPr>
        <xdr:cNvPr id="27" name="テキスト ボックス 26">
          <a:extLst>
            <a:ext uri="{FF2B5EF4-FFF2-40B4-BE49-F238E27FC236}">
              <a16:creationId xmlns="" xmlns:a16="http://schemas.microsoft.com/office/drawing/2014/main" id="{00000000-0008-0000-0300-00001B000000}"/>
            </a:ext>
          </a:extLst>
        </xdr:cNvPr>
        <xdr:cNvSpPr txBox="1"/>
      </xdr:nvSpPr>
      <xdr:spPr>
        <a:xfrm>
          <a:off x="4602361" y="51036671"/>
          <a:ext cx="88526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FF"/>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553779</xdr:colOff>
      <xdr:row>179</xdr:row>
      <xdr:rowOff>0</xdr:rowOff>
    </xdr:from>
    <xdr:to>
      <xdr:col>7</xdr:col>
      <xdr:colOff>584957</xdr:colOff>
      <xdr:row>180</xdr:row>
      <xdr:rowOff>57873</xdr:rowOff>
    </xdr:to>
    <xdr:sp macro="" textlink="">
      <xdr:nvSpPr>
        <xdr:cNvPr id="28" name="テキスト ボックス 1">
          <a:extLst>
            <a:ext uri="{FF2B5EF4-FFF2-40B4-BE49-F238E27FC236}">
              <a16:creationId xmlns="" xmlns:a16="http://schemas.microsoft.com/office/drawing/2014/main" id="{00000000-0008-0000-0300-00001C000000}"/>
            </a:ext>
          </a:extLst>
        </xdr:cNvPr>
        <xdr:cNvSpPr txBox="1"/>
      </xdr:nvSpPr>
      <xdr:spPr>
        <a:xfrm>
          <a:off x="5061541" y="50493576"/>
          <a:ext cx="795393" cy="3458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6</xdr:col>
      <xdr:colOff>620232</xdr:colOff>
      <xdr:row>274</xdr:row>
      <xdr:rowOff>265814</xdr:rowOff>
    </xdr:from>
    <xdr:to>
      <xdr:col>8</xdr:col>
      <xdr:colOff>580373</xdr:colOff>
      <xdr:row>278</xdr:row>
      <xdr:rowOff>224532</xdr:rowOff>
    </xdr:to>
    <xdr:pic>
      <xdr:nvPicPr>
        <xdr:cNvPr id="37" name="図 36">
          <a:extLst>
            <a:ext uri="{FF2B5EF4-FFF2-40B4-BE49-F238E27FC236}">
              <a16:creationId xmlns="" xmlns:a16="http://schemas.microsoft.com/office/drawing/2014/main" id="{00000000-0008-0000-0300-000025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61540" y="78548023"/>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225115</xdr:colOff>
      <xdr:row>34</xdr:row>
      <xdr:rowOff>84739</xdr:rowOff>
    </xdr:from>
    <xdr:to>
      <xdr:col>5</xdr:col>
      <xdr:colOff>538054</xdr:colOff>
      <xdr:row>39</xdr:row>
      <xdr:rowOff>104067</xdr:rowOff>
    </xdr:to>
    <xdr:sp macro="" textlink="">
      <xdr:nvSpPr>
        <xdr:cNvPr id="31" name="右矢印 30">
          <a:extLst>
            <a:ext uri="{FF2B5EF4-FFF2-40B4-BE49-F238E27FC236}">
              <a16:creationId xmlns="" xmlns:a16="http://schemas.microsoft.com/office/drawing/2014/main" id="{00000000-0008-0000-0300-00001F000000}"/>
            </a:ext>
          </a:extLst>
        </xdr:cNvPr>
        <xdr:cNvSpPr/>
      </xdr:nvSpPr>
      <xdr:spPr>
        <a:xfrm>
          <a:off x="2892115" y="8548915"/>
          <a:ext cx="1015174" cy="1102564"/>
        </a:xfrm>
        <a:prstGeom prst="rightArrow">
          <a:avLst/>
        </a:prstGeom>
        <a:solidFill>
          <a:schemeClr val="accent4">
            <a:lumMod val="20000"/>
            <a:lumOff val="80000"/>
          </a:schemeClr>
        </a:solidFill>
        <a:ln>
          <a:solidFill>
            <a:schemeClr val="accent4"/>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200">
              <a:solidFill>
                <a:schemeClr val="tx1"/>
              </a:solidFill>
              <a:latin typeface="HG丸ｺﾞｼｯｸM-PRO" panose="020F0600000000000000" pitchFamily="50" charset="-128"/>
              <a:ea typeface="HG丸ｺﾞｼｯｸM-PRO" panose="020F0600000000000000" pitchFamily="50" charset="-128"/>
            </a:rPr>
            <a:t>計算</a:t>
          </a:r>
          <a:endParaRPr kumimoji="1" lang="en-US" altLang="ja-JP" sz="1200">
            <a:solidFill>
              <a:schemeClr val="tx1"/>
            </a:solidFill>
            <a:latin typeface="HG丸ｺﾞｼｯｸM-PRO" panose="020F0600000000000000" pitchFamily="50" charset="-128"/>
            <a:ea typeface="HG丸ｺﾞｼｯｸM-PRO" panose="020F0600000000000000" pitchFamily="50" charset="-128"/>
          </a:endParaRPr>
        </a:p>
        <a:p>
          <a:pPr algn="ctr"/>
          <a:r>
            <a:rPr kumimoji="1" lang="ja-JP" altLang="en-US" sz="1200">
              <a:solidFill>
                <a:schemeClr val="tx1"/>
              </a:solidFill>
              <a:latin typeface="HG丸ｺﾞｼｯｸM-PRO" panose="020F0600000000000000" pitchFamily="50" charset="-128"/>
              <a:ea typeface="HG丸ｺﾞｼｯｸM-PRO" panose="020F0600000000000000" pitchFamily="50" charset="-128"/>
            </a:rPr>
            <a:t>結果</a:t>
          </a:r>
        </a:p>
      </xdr:txBody>
    </xdr:sp>
    <xdr:clientData/>
  </xdr:twoCellAnchor>
  <xdr:twoCellAnchor editAs="oneCell">
    <xdr:from>
      <xdr:col>0</xdr:col>
      <xdr:colOff>93382</xdr:colOff>
      <xdr:row>212</xdr:row>
      <xdr:rowOff>281827</xdr:rowOff>
    </xdr:from>
    <xdr:to>
      <xdr:col>8</xdr:col>
      <xdr:colOff>156882</xdr:colOff>
      <xdr:row>240</xdr:row>
      <xdr:rowOff>56030</xdr:rowOff>
    </xdr:to>
    <xdr:graphicFrame macro="">
      <xdr:nvGraphicFramePr>
        <xdr:cNvPr id="33" name="グラフ 32">
          <a:extLst>
            <a:ext uri="{FF2B5EF4-FFF2-40B4-BE49-F238E27FC236}">
              <a16:creationId xmlns="" xmlns:a16="http://schemas.microsoft.com/office/drawing/2014/main" id="{00000000-0008-0000-0300-00002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editAs="oneCell">
    <xdr:from>
      <xdr:col>7</xdr:col>
      <xdr:colOff>81919</xdr:colOff>
      <xdr:row>240</xdr:row>
      <xdr:rowOff>131081</xdr:rowOff>
    </xdr:from>
    <xdr:to>
      <xdr:col>8</xdr:col>
      <xdr:colOff>644527</xdr:colOff>
      <xdr:row>243</xdr:row>
      <xdr:rowOff>222766</xdr:rowOff>
    </xdr:to>
    <xdr:pic>
      <xdr:nvPicPr>
        <xdr:cNvPr id="36" name="図 35">
          <a:extLst>
            <a:ext uri="{FF2B5EF4-FFF2-40B4-BE49-F238E27FC236}">
              <a16:creationId xmlns="" xmlns:a16="http://schemas.microsoft.com/office/drawing/2014/main" id="{00000000-0008-0000-0300-000024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855625" y="67650257"/>
          <a:ext cx="1264843" cy="94333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7</xdr:col>
      <xdr:colOff>291354</xdr:colOff>
      <xdr:row>215</xdr:row>
      <xdr:rowOff>67237</xdr:rowOff>
    </xdr:from>
    <xdr:to>
      <xdr:col>8</xdr:col>
      <xdr:colOff>324058</xdr:colOff>
      <xdr:row>216</xdr:row>
      <xdr:rowOff>124291</xdr:rowOff>
    </xdr:to>
    <xdr:sp macro="" textlink="">
      <xdr:nvSpPr>
        <xdr:cNvPr id="34" name="テキスト ボックス 1">
          <a:extLst>
            <a:ext uri="{FF2B5EF4-FFF2-40B4-BE49-F238E27FC236}">
              <a16:creationId xmlns="" xmlns:a16="http://schemas.microsoft.com/office/drawing/2014/main" id="{00000000-0008-0000-0300-000022000000}"/>
            </a:ext>
          </a:extLst>
        </xdr:cNvPr>
        <xdr:cNvSpPr txBox="1"/>
      </xdr:nvSpPr>
      <xdr:spPr>
        <a:xfrm>
          <a:off x="5479678" y="61890090"/>
          <a:ext cx="794704" cy="34840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78441</xdr:colOff>
      <xdr:row>247</xdr:row>
      <xdr:rowOff>168088</xdr:rowOff>
    </xdr:from>
    <xdr:to>
      <xdr:col>8</xdr:col>
      <xdr:colOff>145676</xdr:colOff>
      <xdr:row>274</xdr:row>
      <xdr:rowOff>201705</xdr:rowOff>
    </xdr:to>
    <xdr:graphicFrame macro="">
      <xdr:nvGraphicFramePr>
        <xdr:cNvPr id="39" name="グラフ 38">
          <a:extLst>
            <a:ext uri="{FF2B5EF4-FFF2-40B4-BE49-F238E27FC236}">
              <a16:creationId xmlns="" xmlns:a16="http://schemas.microsoft.com/office/drawing/2014/main" id="{00000000-0008-0000-0300-00002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7</xdr:col>
      <xdr:colOff>347382</xdr:colOff>
      <xdr:row>249</xdr:row>
      <xdr:rowOff>250265</xdr:rowOff>
    </xdr:from>
    <xdr:to>
      <xdr:col>8</xdr:col>
      <xdr:colOff>380086</xdr:colOff>
      <xdr:row>251</xdr:row>
      <xdr:rowOff>15966</xdr:rowOff>
    </xdr:to>
    <xdr:sp macro="" textlink="">
      <xdr:nvSpPr>
        <xdr:cNvPr id="41" name="テキスト ボックス 1">
          <a:extLst>
            <a:ext uri="{FF2B5EF4-FFF2-40B4-BE49-F238E27FC236}">
              <a16:creationId xmlns="" xmlns:a16="http://schemas.microsoft.com/office/drawing/2014/main" id="{00000000-0008-0000-0300-000029000000}"/>
            </a:ext>
          </a:extLst>
        </xdr:cNvPr>
        <xdr:cNvSpPr txBox="1"/>
      </xdr:nvSpPr>
      <xdr:spPr>
        <a:xfrm>
          <a:off x="5535706" y="71979118"/>
          <a:ext cx="794704" cy="34840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wsDr>
</file>

<file path=xl/drawings/drawing14.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5.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6.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7.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8.xml><?xml version="1.0" encoding="utf-8"?>
<xdr:wsDr xmlns:xdr="http://schemas.openxmlformats.org/drawingml/2006/spreadsheetDrawing" xmlns:a="http://schemas.openxmlformats.org/drawingml/2006/main">
  <xdr:twoCellAnchor>
    <xdr:from>
      <xdr:col>0</xdr:col>
      <xdr:colOff>0</xdr:colOff>
      <xdr:row>12</xdr:row>
      <xdr:rowOff>283884</xdr:rowOff>
    </xdr:from>
    <xdr:to>
      <xdr:col>7</xdr:col>
      <xdr:colOff>593912</xdr:colOff>
      <xdr:row>21</xdr:row>
      <xdr:rowOff>171824</xdr:rowOff>
    </xdr:to>
    <xdr:graphicFrame macro="">
      <xdr:nvGraphicFramePr>
        <xdr:cNvPr id="6" name="グラフ 5">
          <a:extLst>
            <a:ext uri="{FF2B5EF4-FFF2-40B4-BE49-F238E27FC236}">
              <a16:creationId xmlns="" xmlns:a16="http://schemas.microsoft.com/office/drawing/2014/main" id="{00000000-0008-0000-04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21790</xdr:colOff>
      <xdr:row>25</xdr:row>
      <xdr:rowOff>13698</xdr:rowOff>
    </xdr:from>
    <xdr:to>
      <xdr:col>7</xdr:col>
      <xdr:colOff>615702</xdr:colOff>
      <xdr:row>33</xdr:row>
      <xdr:rowOff>192991</xdr:rowOff>
    </xdr:to>
    <xdr:graphicFrame macro="">
      <xdr:nvGraphicFramePr>
        <xdr:cNvPr id="9" name="グラフ 8">
          <a:extLst>
            <a:ext uri="{FF2B5EF4-FFF2-40B4-BE49-F238E27FC236}">
              <a16:creationId xmlns="" xmlns:a16="http://schemas.microsoft.com/office/drawing/2014/main" id="{00000000-0008-0000-04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56029</xdr:colOff>
      <xdr:row>43</xdr:row>
      <xdr:rowOff>56029</xdr:rowOff>
    </xdr:from>
    <xdr:to>
      <xdr:col>7</xdr:col>
      <xdr:colOff>649941</xdr:colOff>
      <xdr:row>59</xdr:row>
      <xdr:rowOff>78441</xdr:rowOff>
    </xdr:to>
    <xdr:graphicFrame macro="">
      <xdr:nvGraphicFramePr>
        <xdr:cNvPr id="10" name="グラフ 9">
          <a:extLst>
            <a:ext uri="{FF2B5EF4-FFF2-40B4-BE49-F238E27FC236}">
              <a16:creationId xmlns="" xmlns:a16="http://schemas.microsoft.com/office/drawing/2014/main" id="{00000000-0008-0000-04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editAs="oneCell">
    <xdr:from>
      <xdr:col>6</xdr:col>
      <xdr:colOff>806824</xdr:colOff>
      <xdr:row>59</xdr:row>
      <xdr:rowOff>179294</xdr:rowOff>
    </xdr:from>
    <xdr:to>
      <xdr:col>7</xdr:col>
      <xdr:colOff>703784</xdr:colOff>
      <xdr:row>64</xdr:row>
      <xdr:rowOff>173577</xdr:rowOff>
    </xdr:to>
    <xdr:pic>
      <xdr:nvPicPr>
        <xdr:cNvPr id="11" name="図 10">
          <a:extLst>
            <a:ext uri="{FF2B5EF4-FFF2-40B4-BE49-F238E27FC236}">
              <a16:creationId xmlns="" xmlns:a16="http://schemas.microsoft.com/office/drawing/2014/main" id="{00000000-0008-0000-0400-00000B000000}"/>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5670177" y="17817353"/>
          <a:ext cx="827048" cy="145104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0</xdr:colOff>
      <xdr:row>78</xdr:row>
      <xdr:rowOff>123264</xdr:rowOff>
    </xdr:from>
    <xdr:to>
      <xdr:col>7</xdr:col>
      <xdr:colOff>593912</xdr:colOff>
      <xdr:row>94</xdr:row>
      <xdr:rowOff>145676</xdr:rowOff>
    </xdr:to>
    <xdr:graphicFrame macro="">
      <xdr:nvGraphicFramePr>
        <xdr:cNvPr id="12" name="グラフ 11">
          <a:extLst>
            <a:ext uri="{FF2B5EF4-FFF2-40B4-BE49-F238E27FC236}">
              <a16:creationId xmlns="" xmlns:a16="http://schemas.microsoft.com/office/drawing/2014/main" id="{00000000-0008-0000-04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0</xdr:colOff>
      <xdr:row>106</xdr:row>
      <xdr:rowOff>158563</xdr:rowOff>
    </xdr:from>
    <xdr:to>
      <xdr:col>7</xdr:col>
      <xdr:colOff>1064559</xdr:colOff>
      <xdr:row>127</xdr:row>
      <xdr:rowOff>78441</xdr:rowOff>
    </xdr:to>
    <xdr:graphicFrame macro="">
      <xdr:nvGraphicFramePr>
        <xdr:cNvPr id="15" name="グラフ 14">
          <a:extLst>
            <a:ext uri="{FF2B5EF4-FFF2-40B4-BE49-F238E27FC236}">
              <a16:creationId xmlns="" xmlns:a16="http://schemas.microsoft.com/office/drawing/2014/main" id="{00000000-0008-0000-0400-00000F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156883</xdr:colOff>
      <xdr:row>142</xdr:row>
      <xdr:rowOff>190500</xdr:rowOff>
    </xdr:from>
    <xdr:to>
      <xdr:col>7</xdr:col>
      <xdr:colOff>750795</xdr:colOff>
      <xdr:row>158</xdr:row>
      <xdr:rowOff>212912</xdr:rowOff>
    </xdr:to>
    <xdr:graphicFrame macro="">
      <xdr:nvGraphicFramePr>
        <xdr:cNvPr id="16" name="グラフ 15">
          <a:extLst>
            <a:ext uri="{FF2B5EF4-FFF2-40B4-BE49-F238E27FC236}">
              <a16:creationId xmlns="" xmlns:a16="http://schemas.microsoft.com/office/drawing/2014/main" id="{00000000-0008-0000-04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editAs="oneCell">
    <xdr:from>
      <xdr:col>6</xdr:col>
      <xdr:colOff>885264</xdr:colOff>
      <xdr:row>96</xdr:row>
      <xdr:rowOff>212912</xdr:rowOff>
    </xdr:from>
    <xdr:to>
      <xdr:col>7</xdr:col>
      <xdr:colOff>735652</xdr:colOff>
      <xdr:row>101</xdr:row>
      <xdr:rowOff>186525</xdr:rowOff>
    </xdr:to>
    <xdr:pic>
      <xdr:nvPicPr>
        <xdr:cNvPr id="17" name="図 16">
          <a:extLst>
            <a:ext uri="{FF2B5EF4-FFF2-40B4-BE49-F238E27FC236}">
              <a16:creationId xmlns="" xmlns:a16="http://schemas.microsoft.com/office/drawing/2014/main" id="{00000000-0008-0000-0400-000011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748617" y="28855147"/>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918882</xdr:colOff>
      <xdr:row>130</xdr:row>
      <xdr:rowOff>134470</xdr:rowOff>
    </xdr:from>
    <xdr:to>
      <xdr:col>7</xdr:col>
      <xdr:colOff>713748</xdr:colOff>
      <xdr:row>134</xdr:row>
      <xdr:rowOff>147153</xdr:rowOff>
    </xdr:to>
    <xdr:pic>
      <xdr:nvPicPr>
        <xdr:cNvPr id="18" name="図 17">
          <a:extLst>
            <a:ext uri="{FF2B5EF4-FFF2-40B4-BE49-F238E27FC236}">
              <a16:creationId xmlns="" xmlns:a16="http://schemas.microsoft.com/office/drawing/2014/main" id="{00000000-0008-0000-0400-000012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782235" y="38906823"/>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179294</xdr:colOff>
      <xdr:row>165</xdr:row>
      <xdr:rowOff>190500</xdr:rowOff>
    </xdr:from>
    <xdr:to>
      <xdr:col>7</xdr:col>
      <xdr:colOff>737777</xdr:colOff>
      <xdr:row>169</xdr:row>
      <xdr:rowOff>135668</xdr:rowOff>
    </xdr:to>
    <xdr:pic>
      <xdr:nvPicPr>
        <xdr:cNvPr id="19" name="図 18">
          <a:extLst>
            <a:ext uri="{FF2B5EF4-FFF2-40B4-BE49-F238E27FC236}">
              <a16:creationId xmlns="" xmlns:a16="http://schemas.microsoft.com/office/drawing/2014/main" id="{00000000-0008-0000-0400-000013000000}"/>
            </a:ext>
          </a:extLst>
        </xdr:cNvPr>
        <xdr:cNvPicPr>
          <a:picLocks noChangeAspect="1" noChangeArrowheads="1"/>
        </xdr:cNvPicPr>
      </xdr:nvPicPr>
      <xdr:blipFill>
        <a:blip xmlns:r="http://schemas.openxmlformats.org/officeDocument/2006/relationships" r:embed="rId10" cstate="print">
          <a:extLst>
            <a:ext uri="{28A0092B-C50C-407E-A947-70E740481C1C}">
              <a14:useLocalDpi xmlns:a14="http://schemas.microsoft.com/office/drawing/2010/main" val="0"/>
            </a:ext>
          </a:extLst>
        </a:blip>
        <a:srcRect/>
        <a:stretch>
          <a:fillRect/>
        </a:stretch>
      </xdr:blipFill>
      <xdr:spPr bwMode="auto">
        <a:xfrm>
          <a:off x="5042647" y="49384324"/>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9.xml><?xml version="1.0" encoding="utf-8"?>
<xdr:wsDr xmlns:xdr="http://schemas.openxmlformats.org/drawingml/2006/spreadsheetDrawing" xmlns:a="http://schemas.openxmlformats.org/drawingml/2006/main">
  <xdr:twoCellAnchor editAs="oneCell">
    <xdr:from>
      <xdr:col>6</xdr:col>
      <xdr:colOff>504265</xdr:colOff>
      <xdr:row>29</xdr:row>
      <xdr:rowOff>268941</xdr:rowOff>
    </xdr:from>
    <xdr:to>
      <xdr:col>7</xdr:col>
      <xdr:colOff>1062748</xdr:colOff>
      <xdr:row>33</xdr:row>
      <xdr:rowOff>214108</xdr:rowOff>
    </xdr:to>
    <xdr:pic>
      <xdr:nvPicPr>
        <xdr:cNvPr id="11" name="図 10">
          <a:extLst>
            <a:ext uri="{FF2B5EF4-FFF2-40B4-BE49-F238E27FC236}">
              <a16:creationId xmlns="" xmlns:a16="http://schemas.microsoft.com/office/drawing/2014/main" id="{00000000-0008-0000-0500-00000B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244353" y="8796617"/>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7</xdr:col>
      <xdr:colOff>559616</xdr:colOff>
      <xdr:row>82</xdr:row>
      <xdr:rowOff>246534</xdr:rowOff>
    </xdr:from>
    <xdr:to>
      <xdr:col>8</xdr:col>
      <xdr:colOff>601012</xdr:colOff>
      <xdr:row>86</xdr:row>
      <xdr:rowOff>259217</xdr:rowOff>
    </xdr:to>
    <xdr:pic>
      <xdr:nvPicPr>
        <xdr:cNvPr id="13" name="図 12">
          <a:extLst>
            <a:ext uri="{FF2B5EF4-FFF2-40B4-BE49-F238E27FC236}">
              <a16:creationId xmlns="" xmlns:a16="http://schemas.microsoft.com/office/drawing/2014/main" id="{00000000-0008-0000-0100-00000D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939798" y="24607443"/>
          <a:ext cx="664850" cy="116722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399677</xdr:colOff>
      <xdr:row>48</xdr:row>
      <xdr:rowOff>214157</xdr:rowOff>
    </xdr:from>
    <xdr:to>
      <xdr:col>8</xdr:col>
      <xdr:colOff>496595</xdr:colOff>
      <xdr:row>53</xdr:row>
      <xdr:rowOff>187770</xdr:rowOff>
    </xdr:to>
    <xdr:pic>
      <xdr:nvPicPr>
        <xdr:cNvPr id="14" name="図 13">
          <a:extLst>
            <a:ext uri="{FF2B5EF4-FFF2-40B4-BE49-F238E27FC236}">
              <a16:creationId xmlns="" xmlns:a16="http://schemas.microsoft.com/office/drawing/2014/main" id="{00000000-0008-0000-0100-00000E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627844" y="14395824"/>
          <a:ext cx="721333" cy="140236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190500</xdr:colOff>
      <xdr:row>41</xdr:row>
      <xdr:rowOff>190500</xdr:rowOff>
    </xdr:from>
    <xdr:to>
      <xdr:col>7</xdr:col>
      <xdr:colOff>470647</xdr:colOff>
      <xdr:row>51</xdr:row>
      <xdr:rowOff>112059</xdr:rowOff>
    </xdr:to>
    <xdr:graphicFrame macro="">
      <xdr:nvGraphicFramePr>
        <xdr:cNvPr id="5" name="グラフ 4">
          <a:extLst>
            <a:ext uri="{FF2B5EF4-FFF2-40B4-BE49-F238E27FC236}">
              <a16:creationId xmlns="" xmlns:a16="http://schemas.microsoft.com/office/drawing/2014/main" id="{00000000-0008-0000-01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190500</xdr:colOff>
      <xdr:row>51</xdr:row>
      <xdr:rowOff>280148</xdr:rowOff>
    </xdr:from>
    <xdr:to>
      <xdr:col>7</xdr:col>
      <xdr:colOff>470647</xdr:colOff>
      <xdr:row>61</xdr:row>
      <xdr:rowOff>201706</xdr:rowOff>
    </xdr:to>
    <xdr:graphicFrame macro="">
      <xdr:nvGraphicFramePr>
        <xdr:cNvPr id="6" name="グラフ 5">
          <a:extLst>
            <a:ext uri="{FF2B5EF4-FFF2-40B4-BE49-F238E27FC236}">
              <a16:creationId xmlns="" xmlns:a16="http://schemas.microsoft.com/office/drawing/2014/main" id="{00000000-0008-0000-01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179295</xdr:colOff>
      <xdr:row>75</xdr:row>
      <xdr:rowOff>136071</xdr:rowOff>
    </xdr:from>
    <xdr:to>
      <xdr:col>7</xdr:col>
      <xdr:colOff>515472</xdr:colOff>
      <xdr:row>84</xdr:row>
      <xdr:rowOff>281748</xdr:rowOff>
    </xdr:to>
    <xdr:graphicFrame macro="">
      <xdr:nvGraphicFramePr>
        <xdr:cNvPr id="8" name="グラフ 7">
          <a:extLst>
            <a:ext uri="{FF2B5EF4-FFF2-40B4-BE49-F238E27FC236}">
              <a16:creationId xmlns="" xmlns:a16="http://schemas.microsoft.com/office/drawing/2014/main" id="{00000000-0008-0000-01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179295</xdr:colOff>
      <xdr:row>85</xdr:row>
      <xdr:rowOff>100854</xdr:rowOff>
    </xdr:from>
    <xdr:to>
      <xdr:col>7</xdr:col>
      <xdr:colOff>515472</xdr:colOff>
      <xdr:row>94</xdr:row>
      <xdr:rowOff>246531</xdr:rowOff>
    </xdr:to>
    <xdr:graphicFrame macro="">
      <xdr:nvGraphicFramePr>
        <xdr:cNvPr id="10" name="グラフ 9">
          <a:extLst>
            <a:ext uri="{FF2B5EF4-FFF2-40B4-BE49-F238E27FC236}">
              <a16:creationId xmlns="" xmlns:a16="http://schemas.microsoft.com/office/drawing/2014/main" id="{00000000-0008-0000-01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56030</xdr:colOff>
      <xdr:row>9</xdr:row>
      <xdr:rowOff>190501</xdr:rowOff>
    </xdr:from>
    <xdr:to>
      <xdr:col>2</xdr:col>
      <xdr:colOff>168088</xdr:colOff>
      <xdr:row>10</xdr:row>
      <xdr:rowOff>212912</xdr:rowOff>
    </xdr:to>
    <xdr:sp macro="" textlink="">
      <xdr:nvSpPr>
        <xdr:cNvPr id="2" name="テキスト ボックス 1">
          <a:extLst>
            <a:ext uri="{FF2B5EF4-FFF2-40B4-BE49-F238E27FC236}">
              <a16:creationId xmlns="" xmlns:a16="http://schemas.microsoft.com/office/drawing/2014/main" id="{00000000-0008-0000-0100-000002000000}"/>
            </a:ext>
          </a:extLst>
        </xdr:cNvPr>
        <xdr:cNvSpPr txBox="1"/>
      </xdr:nvSpPr>
      <xdr:spPr>
        <a:xfrm>
          <a:off x="739589" y="3036795"/>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190500</xdr:colOff>
      <xdr:row>105</xdr:row>
      <xdr:rowOff>67233</xdr:rowOff>
    </xdr:from>
    <xdr:to>
      <xdr:col>7</xdr:col>
      <xdr:colOff>481853</xdr:colOff>
      <xdr:row>130</xdr:row>
      <xdr:rowOff>78440</xdr:rowOff>
    </xdr:to>
    <xdr:graphicFrame macro="">
      <xdr:nvGraphicFramePr>
        <xdr:cNvPr id="18" name="グラフ 17">
          <a:extLst>
            <a:ext uri="{FF2B5EF4-FFF2-40B4-BE49-F238E27FC236}">
              <a16:creationId xmlns="" xmlns:a16="http://schemas.microsoft.com/office/drawing/2014/main" id="{00000000-0008-0000-0100-00001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33617</xdr:colOff>
      <xdr:row>107</xdr:row>
      <xdr:rowOff>268941</xdr:rowOff>
    </xdr:from>
    <xdr:to>
      <xdr:col>2</xdr:col>
      <xdr:colOff>672353</xdr:colOff>
      <xdr:row>109</xdr:row>
      <xdr:rowOff>257735</xdr:rowOff>
    </xdr:to>
    <xdr:sp macro="" textlink="">
      <xdr:nvSpPr>
        <xdr:cNvPr id="19" name="テキスト ボックス 18">
          <a:extLst>
            <a:ext uri="{FF2B5EF4-FFF2-40B4-BE49-F238E27FC236}">
              <a16:creationId xmlns="" xmlns:a16="http://schemas.microsoft.com/office/drawing/2014/main" id="{00000000-0008-0000-0100-000013000000}"/>
            </a:ext>
          </a:extLst>
        </xdr:cNvPr>
        <xdr:cNvSpPr txBox="1"/>
      </xdr:nvSpPr>
      <xdr:spPr>
        <a:xfrm>
          <a:off x="717176" y="32340176"/>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5</xdr:col>
      <xdr:colOff>996388</xdr:colOff>
      <xdr:row>107</xdr:row>
      <xdr:rowOff>224117</xdr:rowOff>
    </xdr:from>
    <xdr:to>
      <xdr:col>7</xdr:col>
      <xdr:colOff>298145</xdr:colOff>
      <xdr:row>109</xdr:row>
      <xdr:rowOff>212911</xdr:rowOff>
    </xdr:to>
    <xdr:sp macro="" textlink="">
      <xdr:nvSpPr>
        <xdr:cNvPr id="20" name="テキスト ボックス 19">
          <a:extLst>
            <a:ext uri="{FF2B5EF4-FFF2-40B4-BE49-F238E27FC236}">
              <a16:creationId xmlns="" xmlns:a16="http://schemas.microsoft.com/office/drawing/2014/main" id="{00000000-0008-0000-0100-000014000000}"/>
            </a:ext>
          </a:extLst>
        </xdr:cNvPr>
        <xdr:cNvSpPr txBox="1"/>
      </xdr:nvSpPr>
      <xdr:spPr>
        <a:xfrm>
          <a:off x="5142564" y="32295352"/>
          <a:ext cx="1027463"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548153</xdr:colOff>
      <xdr:row>105</xdr:row>
      <xdr:rowOff>257736</xdr:rowOff>
    </xdr:from>
    <xdr:to>
      <xdr:col>8</xdr:col>
      <xdr:colOff>24992</xdr:colOff>
      <xdr:row>106</xdr:row>
      <xdr:rowOff>243944</xdr:rowOff>
    </xdr:to>
    <xdr:sp macro="" textlink="">
      <xdr:nvSpPr>
        <xdr:cNvPr id="21" name="テキスト ボックス 1">
          <a:extLst>
            <a:ext uri="{FF2B5EF4-FFF2-40B4-BE49-F238E27FC236}">
              <a16:creationId xmlns="" xmlns:a16="http://schemas.microsoft.com/office/drawing/2014/main" id="{00000000-0008-0000-0100-000015000000}"/>
            </a:ext>
          </a:extLst>
        </xdr:cNvPr>
        <xdr:cNvSpPr txBox="1"/>
      </xdr:nvSpPr>
      <xdr:spPr>
        <a:xfrm>
          <a:off x="5736477" y="31746265"/>
          <a:ext cx="843956" cy="27756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119529</xdr:colOff>
      <xdr:row>8</xdr:row>
      <xdr:rowOff>186765</xdr:rowOff>
    </xdr:from>
    <xdr:to>
      <xdr:col>7</xdr:col>
      <xdr:colOff>388470</xdr:colOff>
      <xdr:row>25</xdr:row>
      <xdr:rowOff>141940</xdr:rowOff>
    </xdr:to>
    <xdr:graphicFrame macro="">
      <xdr:nvGraphicFramePr>
        <xdr:cNvPr id="16" name="グラフ 15">
          <a:extLst>
            <a:ext uri="{FF2B5EF4-FFF2-40B4-BE49-F238E27FC236}">
              <a16:creationId xmlns="" xmlns:a16="http://schemas.microsoft.com/office/drawing/2014/main" id="{00000000-0008-0000-01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editAs="oneCell">
    <xdr:from>
      <xdr:col>7</xdr:col>
      <xdr:colOff>437029</xdr:colOff>
      <xdr:row>20</xdr:row>
      <xdr:rowOff>149412</xdr:rowOff>
    </xdr:from>
    <xdr:to>
      <xdr:col>8</xdr:col>
      <xdr:colOff>561469</xdr:colOff>
      <xdr:row>25</xdr:row>
      <xdr:rowOff>143695</xdr:rowOff>
    </xdr:to>
    <xdr:pic>
      <xdr:nvPicPr>
        <xdr:cNvPr id="12" name="図 11">
          <a:extLst>
            <a:ext uri="{FF2B5EF4-FFF2-40B4-BE49-F238E27FC236}">
              <a16:creationId xmlns="" xmlns:a16="http://schemas.microsoft.com/office/drawing/2014/main" id="{00000000-0008-0000-0100-00000C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681382" y="6058647"/>
          <a:ext cx="751968" cy="14136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0</xdr:col>
      <xdr:colOff>224120</xdr:colOff>
      <xdr:row>137</xdr:row>
      <xdr:rowOff>235323</xdr:rowOff>
    </xdr:from>
    <xdr:ext cx="6028762" cy="6757147"/>
    <xdr:graphicFrame macro="">
      <xdr:nvGraphicFramePr>
        <xdr:cNvPr id="17" name="グラフ 16">
          <a:extLst>
            <a:ext uri="{FF2B5EF4-FFF2-40B4-BE49-F238E27FC236}">
              <a16:creationId xmlns="" xmlns:a16="http://schemas.microsoft.com/office/drawing/2014/main" id="{00000000-0008-0000-0100-00001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oneCellAnchor>
  <xdr:twoCellAnchor>
    <xdr:from>
      <xdr:col>0</xdr:col>
      <xdr:colOff>616322</xdr:colOff>
      <xdr:row>140</xdr:row>
      <xdr:rowOff>225988</xdr:rowOff>
    </xdr:from>
    <xdr:to>
      <xdr:col>2</xdr:col>
      <xdr:colOff>571499</xdr:colOff>
      <xdr:row>142</xdr:row>
      <xdr:rowOff>214782</xdr:rowOff>
    </xdr:to>
    <xdr:sp macro="" textlink="">
      <xdr:nvSpPr>
        <xdr:cNvPr id="23" name="テキスト ボックス 22">
          <a:extLst>
            <a:ext uri="{FF2B5EF4-FFF2-40B4-BE49-F238E27FC236}">
              <a16:creationId xmlns="" xmlns:a16="http://schemas.microsoft.com/office/drawing/2014/main" id="{00000000-0008-0000-0100-000017000000}"/>
            </a:ext>
          </a:extLst>
        </xdr:cNvPr>
        <xdr:cNvSpPr txBox="1"/>
      </xdr:nvSpPr>
      <xdr:spPr>
        <a:xfrm>
          <a:off x="616322" y="41990312"/>
          <a:ext cx="1322295" cy="5714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5</xdr:col>
      <xdr:colOff>918884</xdr:colOff>
      <xdr:row>140</xdr:row>
      <xdr:rowOff>118598</xdr:rowOff>
    </xdr:from>
    <xdr:to>
      <xdr:col>7</xdr:col>
      <xdr:colOff>311728</xdr:colOff>
      <xdr:row>142</xdr:row>
      <xdr:rowOff>168091</xdr:rowOff>
    </xdr:to>
    <xdr:sp macro="" textlink="">
      <xdr:nvSpPr>
        <xdr:cNvPr id="24" name="テキスト ボックス 23">
          <a:extLst>
            <a:ext uri="{FF2B5EF4-FFF2-40B4-BE49-F238E27FC236}">
              <a16:creationId xmlns="" xmlns:a16="http://schemas.microsoft.com/office/drawing/2014/main" id="{00000000-0008-0000-0100-000018000000}"/>
            </a:ext>
          </a:extLst>
        </xdr:cNvPr>
        <xdr:cNvSpPr txBox="1"/>
      </xdr:nvSpPr>
      <xdr:spPr>
        <a:xfrm>
          <a:off x="5065060" y="41882922"/>
          <a:ext cx="1118550" cy="63219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340133</xdr:colOff>
      <xdr:row>138</xdr:row>
      <xdr:rowOff>102090</xdr:rowOff>
    </xdr:from>
    <xdr:to>
      <xdr:col>7</xdr:col>
      <xdr:colOff>509603</xdr:colOff>
      <xdr:row>139</xdr:row>
      <xdr:rowOff>242965</xdr:rowOff>
    </xdr:to>
    <xdr:sp macro="" textlink="">
      <xdr:nvSpPr>
        <xdr:cNvPr id="25" name="テキスト ボックス 1">
          <a:extLst>
            <a:ext uri="{FF2B5EF4-FFF2-40B4-BE49-F238E27FC236}">
              <a16:creationId xmlns="" xmlns:a16="http://schemas.microsoft.com/office/drawing/2014/main" id="{00000000-0008-0000-0100-000019000000}"/>
            </a:ext>
          </a:extLst>
        </xdr:cNvPr>
        <xdr:cNvSpPr txBox="1"/>
      </xdr:nvSpPr>
      <xdr:spPr>
        <a:xfrm>
          <a:off x="5528457" y="41283708"/>
          <a:ext cx="853028" cy="43222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wsDr>
</file>

<file path=xl/drawings/drawing3.xml><?xml version="1.0" encoding="utf-8"?>
<c:userShapes xmlns:c="http://schemas.openxmlformats.org/drawingml/2006/chart">
  <cdr:relSizeAnchor xmlns:cdr="http://schemas.openxmlformats.org/drawingml/2006/chartDrawing">
    <cdr:from>
      <cdr:x>0.0507</cdr:x>
      <cdr:y>0.07514</cdr:y>
    </cdr:from>
    <cdr:to>
      <cdr:x>0.19416</cdr:x>
      <cdr:y>0.17304</cdr:y>
    </cdr:to>
    <cdr:sp macro="" textlink="">
      <cdr:nvSpPr>
        <cdr:cNvPr id="2" name="テキスト ボックス 1"/>
        <cdr:cNvSpPr txBox="1"/>
      </cdr:nvSpPr>
      <cdr:spPr>
        <a:xfrm xmlns:a="http://schemas.openxmlformats.org/drawingml/2006/main">
          <a:off x="311919" y="213027"/>
          <a:ext cx="882570" cy="277555"/>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4.xml><?xml version="1.0" encoding="utf-8"?>
<c:userShapes xmlns:c="http://schemas.openxmlformats.org/drawingml/2006/chart">
  <cdr:relSizeAnchor xmlns:cdr="http://schemas.openxmlformats.org/drawingml/2006/chartDrawing">
    <cdr:from>
      <cdr:x>0.03882</cdr:x>
      <cdr:y>0.08511</cdr:y>
    </cdr:from>
    <cdr:to>
      <cdr:x>0.18367</cdr:x>
      <cdr:y>0.18301</cdr:y>
    </cdr:to>
    <cdr:sp macro="" textlink="">
      <cdr:nvSpPr>
        <cdr:cNvPr id="2" name="テキスト ボックス 1"/>
        <cdr:cNvSpPr txBox="1"/>
      </cdr:nvSpPr>
      <cdr:spPr>
        <a:xfrm xmlns:a="http://schemas.openxmlformats.org/drawingml/2006/main">
          <a:off x="213131" y="241300"/>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5.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6.xml><?xml version="1.0" encoding="utf-8"?>
<c:userShapes xmlns:c="http://schemas.openxmlformats.org/drawingml/2006/chart">
  <cdr:relSizeAnchor xmlns:cdr="http://schemas.openxmlformats.org/drawingml/2006/chartDrawing">
    <cdr:from>
      <cdr:x>0.07032</cdr:x>
      <cdr:y>0.04003</cdr:y>
    </cdr:from>
    <cdr:to>
      <cdr:x>0.19039</cdr:x>
      <cdr:y>0.10807</cdr:y>
    </cdr:to>
    <cdr:sp macro="" textlink="">
      <cdr:nvSpPr>
        <cdr:cNvPr id="2" name="テキスト ボックス 13"/>
        <cdr:cNvSpPr txBox="1"/>
      </cdr:nvSpPr>
      <cdr:spPr>
        <a:xfrm xmlns:a="http://schemas.openxmlformats.org/drawingml/2006/main">
          <a:off x="431800" y="196475"/>
          <a:ext cx="737347" cy="333935"/>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7.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8.xml><?xml version="1.0" encoding="utf-8"?>
<xdr:wsDr xmlns:xdr="http://schemas.openxmlformats.org/drawingml/2006/spreadsheetDrawing" xmlns:a="http://schemas.openxmlformats.org/drawingml/2006/main">
  <xdr:twoCellAnchor>
    <xdr:from>
      <xdr:col>0</xdr:col>
      <xdr:colOff>44823</xdr:colOff>
      <xdr:row>12</xdr:row>
      <xdr:rowOff>202823</xdr:rowOff>
    </xdr:from>
    <xdr:to>
      <xdr:col>8</xdr:col>
      <xdr:colOff>0</xdr:colOff>
      <xdr:row>30</xdr:row>
      <xdr:rowOff>85910</xdr:rowOff>
    </xdr:to>
    <xdr:graphicFrame macro="">
      <xdr:nvGraphicFramePr>
        <xdr:cNvPr id="28" name="グラフ 27">
          <a:extLst>
            <a:ext uri="{FF2B5EF4-FFF2-40B4-BE49-F238E27FC236}">
              <a16:creationId xmlns="" xmlns:a16="http://schemas.microsoft.com/office/drawing/2014/main" id="{00000000-0008-0000-0200-00001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7</xdr:col>
      <xdr:colOff>638736</xdr:colOff>
      <xdr:row>95</xdr:row>
      <xdr:rowOff>212911</xdr:rowOff>
    </xdr:from>
    <xdr:to>
      <xdr:col>8</xdr:col>
      <xdr:colOff>680131</xdr:colOff>
      <xdr:row>99</xdr:row>
      <xdr:rowOff>225593</xdr:rowOff>
    </xdr:to>
    <xdr:pic>
      <xdr:nvPicPr>
        <xdr:cNvPr id="17" name="図 16">
          <a:extLst>
            <a:ext uri="{FF2B5EF4-FFF2-40B4-BE49-F238E27FC236}">
              <a16:creationId xmlns="" xmlns:a16="http://schemas.microsoft.com/office/drawing/2014/main" id="{00000000-0008-0000-0200-000011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658971" y="28619823"/>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168089</xdr:colOff>
      <xdr:row>42</xdr:row>
      <xdr:rowOff>22412</xdr:rowOff>
    </xdr:from>
    <xdr:to>
      <xdr:col>7</xdr:col>
      <xdr:colOff>504266</xdr:colOff>
      <xdr:row>53</xdr:row>
      <xdr:rowOff>22412</xdr:rowOff>
    </xdr:to>
    <xdr:graphicFrame macro="">
      <xdr:nvGraphicFramePr>
        <xdr:cNvPr id="4" name="グラフ 3">
          <a:extLst>
            <a:ext uri="{FF2B5EF4-FFF2-40B4-BE49-F238E27FC236}">
              <a16:creationId xmlns="" xmlns:a16="http://schemas.microsoft.com/office/drawing/2014/main" id="{00000000-0008-0000-02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168089</xdr:colOff>
      <xdr:row>53</xdr:row>
      <xdr:rowOff>78442</xdr:rowOff>
    </xdr:from>
    <xdr:to>
      <xdr:col>7</xdr:col>
      <xdr:colOff>504266</xdr:colOff>
      <xdr:row>64</xdr:row>
      <xdr:rowOff>78441</xdr:rowOff>
    </xdr:to>
    <xdr:graphicFrame macro="">
      <xdr:nvGraphicFramePr>
        <xdr:cNvPr id="5" name="グラフ 4">
          <a:extLst>
            <a:ext uri="{FF2B5EF4-FFF2-40B4-BE49-F238E27FC236}">
              <a16:creationId xmlns="" xmlns:a16="http://schemas.microsoft.com/office/drawing/2014/main" id="{00000000-0008-0000-02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112058</xdr:colOff>
      <xdr:row>75</xdr:row>
      <xdr:rowOff>136071</xdr:rowOff>
    </xdr:from>
    <xdr:to>
      <xdr:col>8</xdr:col>
      <xdr:colOff>33618</xdr:colOff>
      <xdr:row>86</xdr:row>
      <xdr:rowOff>35218</xdr:rowOff>
    </xdr:to>
    <xdr:graphicFrame macro="">
      <xdr:nvGraphicFramePr>
        <xdr:cNvPr id="7" name="グラフ 6">
          <a:extLst>
            <a:ext uri="{FF2B5EF4-FFF2-40B4-BE49-F238E27FC236}">
              <a16:creationId xmlns="" xmlns:a16="http://schemas.microsoft.com/office/drawing/2014/main" id="{00000000-0008-0000-02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112058</xdr:colOff>
      <xdr:row>86</xdr:row>
      <xdr:rowOff>78442</xdr:rowOff>
    </xdr:from>
    <xdr:to>
      <xdr:col>8</xdr:col>
      <xdr:colOff>33618</xdr:colOff>
      <xdr:row>96</xdr:row>
      <xdr:rowOff>268942</xdr:rowOff>
    </xdr:to>
    <xdr:graphicFrame macro="">
      <xdr:nvGraphicFramePr>
        <xdr:cNvPr id="9" name="グラフ 8">
          <a:extLst>
            <a:ext uri="{FF2B5EF4-FFF2-40B4-BE49-F238E27FC236}">
              <a16:creationId xmlns="" xmlns:a16="http://schemas.microsoft.com/office/drawing/2014/main" id="{00000000-0008-0000-02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627529</xdr:colOff>
      <xdr:row>14</xdr:row>
      <xdr:rowOff>13073</xdr:rowOff>
    </xdr:from>
    <xdr:to>
      <xdr:col>2</xdr:col>
      <xdr:colOff>56028</xdr:colOff>
      <xdr:row>15</xdr:row>
      <xdr:rowOff>35484</xdr:rowOff>
    </xdr:to>
    <xdr:sp macro="" textlink="">
      <xdr:nvSpPr>
        <xdr:cNvPr id="14" name="テキスト ボックス 13">
          <a:extLst>
            <a:ext uri="{FF2B5EF4-FFF2-40B4-BE49-F238E27FC236}">
              <a16:creationId xmlns="" xmlns:a16="http://schemas.microsoft.com/office/drawing/2014/main" id="{00000000-0008-0000-0200-00000E000000}"/>
            </a:ext>
          </a:extLst>
        </xdr:cNvPr>
        <xdr:cNvSpPr txBox="1"/>
      </xdr:nvSpPr>
      <xdr:spPr>
        <a:xfrm>
          <a:off x="627529" y="4428191"/>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8</xdr:col>
      <xdr:colOff>43584</xdr:colOff>
      <xdr:row>29</xdr:row>
      <xdr:rowOff>23662</xdr:rowOff>
    </xdr:from>
    <xdr:to>
      <xdr:col>8</xdr:col>
      <xdr:colOff>663951</xdr:colOff>
      <xdr:row>32</xdr:row>
      <xdr:rowOff>254393</xdr:rowOff>
    </xdr:to>
    <xdr:pic>
      <xdr:nvPicPr>
        <xdr:cNvPr id="15" name="図 14">
          <a:extLst>
            <a:ext uri="{FF2B5EF4-FFF2-40B4-BE49-F238E27FC236}">
              <a16:creationId xmlns="" xmlns:a16="http://schemas.microsoft.com/office/drawing/2014/main" id="{00000000-0008-0000-0200-00000F000000}"/>
            </a:ext>
          </a:extLst>
        </xdr:cNvPr>
        <xdr:cNvPicPr>
          <a:picLocks noChangeAspect="1" noChangeArrowheads="1"/>
        </xdr:cNvPicPr>
      </xdr:nvPicPr>
      <xdr:blipFill>
        <a:blip xmlns:r="http://schemas.openxmlformats.org/officeDocument/2006/relationships" r:embed="rId7" cstate="print">
          <a:extLst>
            <a:ext uri="{28A0092B-C50C-407E-A947-70E740481C1C}">
              <a14:useLocalDpi xmlns:a14="http://schemas.microsoft.com/office/drawing/2010/main" val="0"/>
            </a:ext>
          </a:extLst>
        </a:blip>
        <a:srcRect/>
        <a:stretch>
          <a:fillRect/>
        </a:stretch>
      </xdr:blipFill>
      <xdr:spPr bwMode="auto">
        <a:xfrm>
          <a:off x="5356417" y="8670245"/>
          <a:ext cx="620367" cy="108798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537884</xdr:colOff>
      <xdr:row>61</xdr:row>
      <xdr:rowOff>156882</xdr:rowOff>
    </xdr:from>
    <xdr:to>
      <xdr:col>8</xdr:col>
      <xdr:colOff>634801</xdr:colOff>
      <xdr:row>66</xdr:row>
      <xdr:rowOff>130495</xdr:rowOff>
    </xdr:to>
    <xdr:pic>
      <xdr:nvPicPr>
        <xdr:cNvPr id="16" name="図 15">
          <a:extLst>
            <a:ext uri="{FF2B5EF4-FFF2-40B4-BE49-F238E27FC236}">
              <a16:creationId xmlns="" xmlns:a16="http://schemas.microsoft.com/office/drawing/2014/main" id="{00000000-0008-0000-0200-000010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558119" y="18142323"/>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224117</xdr:colOff>
      <xdr:row>105</xdr:row>
      <xdr:rowOff>179916</xdr:rowOff>
    </xdr:from>
    <xdr:to>
      <xdr:col>8</xdr:col>
      <xdr:colOff>264583</xdr:colOff>
      <xdr:row>132</xdr:row>
      <xdr:rowOff>95874</xdr:rowOff>
    </xdr:to>
    <xdr:graphicFrame macro="">
      <xdr:nvGraphicFramePr>
        <xdr:cNvPr id="19" name="グラフ 18">
          <a:extLst>
            <a:ext uri="{FF2B5EF4-FFF2-40B4-BE49-F238E27FC236}">
              <a16:creationId xmlns="" xmlns:a16="http://schemas.microsoft.com/office/drawing/2014/main" id="{00000000-0008-0000-0200-00001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7</xdr:col>
      <xdr:colOff>246530</xdr:colOff>
      <xdr:row>106</xdr:row>
      <xdr:rowOff>174313</xdr:rowOff>
    </xdr:from>
    <xdr:to>
      <xdr:col>8</xdr:col>
      <xdr:colOff>358364</xdr:colOff>
      <xdr:row>107</xdr:row>
      <xdr:rowOff>223195</xdr:rowOff>
    </xdr:to>
    <xdr:sp macro="" textlink="">
      <xdr:nvSpPr>
        <xdr:cNvPr id="20" name="テキスト ボックス 1">
          <a:extLst>
            <a:ext uri="{FF2B5EF4-FFF2-40B4-BE49-F238E27FC236}">
              <a16:creationId xmlns="" xmlns:a16="http://schemas.microsoft.com/office/drawing/2014/main" id="{00000000-0008-0000-0200-000014000000}"/>
            </a:ext>
          </a:extLst>
        </xdr:cNvPr>
        <xdr:cNvSpPr txBox="1"/>
      </xdr:nvSpPr>
      <xdr:spPr>
        <a:xfrm>
          <a:off x="4934947" y="31691480"/>
          <a:ext cx="736250" cy="33463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593912</xdr:colOff>
      <xdr:row>108</xdr:row>
      <xdr:rowOff>93381</xdr:rowOff>
    </xdr:from>
    <xdr:to>
      <xdr:col>2</xdr:col>
      <xdr:colOff>549089</xdr:colOff>
      <xdr:row>110</xdr:row>
      <xdr:rowOff>82175</xdr:rowOff>
    </xdr:to>
    <xdr:sp macro="" textlink="">
      <xdr:nvSpPr>
        <xdr:cNvPr id="21" name="テキスト ボックス 20">
          <a:extLst>
            <a:ext uri="{FF2B5EF4-FFF2-40B4-BE49-F238E27FC236}">
              <a16:creationId xmlns="" xmlns:a16="http://schemas.microsoft.com/office/drawing/2014/main" id="{00000000-0008-0000-0200-000015000000}"/>
            </a:ext>
          </a:extLst>
        </xdr:cNvPr>
        <xdr:cNvSpPr txBox="1"/>
      </xdr:nvSpPr>
      <xdr:spPr>
        <a:xfrm>
          <a:off x="593912" y="32182048"/>
          <a:ext cx="1204010"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448235</xdr:colOff>
      <xdr:row>108</xdr:row>
      <xdr:rowOff>116417</xdr:rowOff>
    </xdr:from>
    <xdr:to>
      <xdr:col>8</xdr:col>
      <xdr:colOff>6475</xdr:colOff>
      <xdr:row>110</xdr:row>
      <xdr:rowOff>105211</xdr:rowOff>
    </xdr:to>
    <xdr:sp macro="" textlink="">
      <xdr:nvSpPr>
        <xdr:cNvPr id="22" name="テキスト ボックス 21">
          <a:extLst>
            <a:ext uri="{FF2B5EF4-FFF2-40B4-BE49-F238E27FC236}">
              <a16:creationId xmlns="" xmlns:a16="http://schemas.microsoft.com/office/drawing/2014/main" id="{00000000-0008-0000-0200-000016000000}"/>
            </a:ext>
          </a:extLst>
        </xdr:cNvPr>
        <xdr:cNvSpPr txBox="1"/>
      </xdr:nvSpPr>
      <xdr:spPr>
        <a:xfrm>
          <a:off x="4512235" y="32205084"/>
          <a:ext cx="807073"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editAs="oneCell">
    <xdr:from>
      <xdr:col>0</xdr:col>
      <xdr:colOff>246528</xdr:colOff>
      <xdr:row>139</xdr:row>
      <xdr:rowOff>257735</xdr:rowOff>
    </xdr:from>
    <xdr:to>
      <xdr:col>8</xdr:col>
      <xdr:colOff>275166</xdr:colOff>
      <xdr:row>166</xdr:row>
      <xdr:rowOff>168089</xdr:rowOff>
    </xdr:to>
    <xdr:graphicFrame macro="">
      <xdr:nvGraphicFramePr>
        <xdr:cNvPr id="23" name="グラフ 22">
          <a:extLst>
            <a:ext uri="{FF2B5EF4-FFF2-40B4-BE49-F238E27FC236}">
              <a16:creationId xmlns="" xmlns:a16="http://schemas.microsoft.com/office/drawing/2014/main" id="{00000000-0008-0000-0200-00001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editAs="oneCell">
    <xdr:from>
      <xdr:col>6</xdr:col>
      <xdr:colOff>511113</xdr:colOff>
      <xdr:row>130</xdr:row>
      <xdr:rowOff>254000</xdr:rowOff>
    </xdr:from>
    <xdr:to>
      <xdr:col>8</xdr:col>
      <xdr:colOff>632566</xdr:colOff>
      <xdr:row>134</xdr:row>
      <xdr:rowOff>204770</xdr:rowOff>
    </xdr:to>
    <xdr:pic>
      <xdr:nvPicPr>
        <xdr:cNvPr id="24" name="図 23">
          <a:extLst>
            <a:ext uri="{FF2B5EF4-FFF2-40B4-BE49-F238E27FC236}">
              <a16:creationId xmlns="" xmlns:a16="http://schemas.microsoft.com/office/drawing/2014/main" id="{00000000-0008-0000-0200-000018000000}"/>
            </a:ext>
          </a:extLst>
        </xdr:cNvPr>
        <xdr:cNvPicPr>
          <a:picLocks noChangeAspect="1" noChangeArrowheads="1"/>
        </xdr:cNvPicPr>
      </xdr:nvPicPr>
      <xdr:blipFill>
        <a:blip xmlns:r="http://schemas.openxmlformats.org/officeDocument/2006/relationships" r:embed="rId11" cstate="print">
          <a:extLst>
            <a:ext uri="{28A0092B-C50C-407E-A947-70E740481C1C}">
              <a14:useLocalDpi xmlns:a14="http://schemas.microsoft.com/office/drawing/2010/main" val="0"/>
            </a:ext>
          </a:extLst>
        </a:blip>
        <a:srcRect/>
        <a:stretch>
          <a:fillRect/>
        </a:stretch>
      </xdr:blipFill>
      <xdr:spPr bwMode="auto">
        <a:xfrm>
          <a:off x="4575113" y="38629167"/>
          <a:ext cx="1370286" cy="109377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568388</xdr:colOff>
      <xdr:row>164</xdr:row>
      <xdr:rowOff>283883</xdr:rowOff>
    </xdr:from>
    <xdr:to>
      <xdr:col>8</xdr:col>
      <xdr:colOff>689841</xdr:colOff>
      <xdr:row>168</xdr:row>
      <xdr:rowOff>229049</xdr:rowOff>
    </xdr:to>
    <xdr:pic>
      <xdr:nvPicPr>
        <xdr:cNvPr id="25" name="図 24">
          <a:extLst>
            <a:ext uri="{FF2B5EF4-FFF2-40B4-BE49-F238E27FC236}">
              <a16:creationId xmlns="" xmlns:a16="http://schemas.microsoft.com/office/drawing/2014/main" id="{00000000-0008-0000-0200-000019000000}"/>
            </a:ext>
          </a:extLst>
        </xdr:cNvPr>
        <xdr:cNvPicPr>
          <a:picLocks noChangeAspect="1" noChangeArrowheads="1"/>
        </xdr:cNvPicPr>
      </xdr:nvPicPr>
      <xdr:blipFill>
        <a:blip xmlns:r="http://schemas.openxmlformats.org/officeDocument/2006/relationships" r:embed="rId11" cstate="print">
          <a:extLst>
            <a:ext uri="{28A0092B-C50C-407E-A947-70E740481C1C}">
              <a14:useLocalDpi xmlns:a14="http://schemas.microsoft.com/office/drawing/2010/main" val="0"/>
            </a:ext>
          </a:extLst>
        </a:blip>
        <a:srcRect/>
        <a:stretch>
          <a:fillRect/>
        </a:stretch>
      </xdr:blipFill>
      <xdr:spPr bwMode="auto">
        <a:xfrm>
          <a:off x="4632388" y="48374550"/>
          <a:ext cx="1370286" cy="108816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605118</xdr:colOff>
      <xdr:row>142</xdr:row>
      <xdr:rowOff>190500</xdr:rowOff>
    </xdr:from>
    <xdr:to>
      <xdr:col>2</xdr:col>
      <xdr:colOff>560295</xdr:colOff>
      <xdr:row>144</xdr:row>
      <xdr:rowOff>184897</xdr:rowOff>
    </xdr:to>
    <xdr:sp macro="" textlink="">
      <xdr:nvSpPr>
        <xdr:cNvPr id="26" name="テキスト ボックス 25">
          <a:extLst>
            <a:ext uri="{FF2B5EF4-FFF2-40B4-BE49-F238E27FC236}">
              <a16:creationId xmlns="" xmlns:a16="http://schemas.microsoft.com/office/drawing/2014/main" id="{00000000-0008-0000-0200-00001A000000}"/>
            </a:ext>
          </a:extLst>
        </xdr:cNvPr>
        <xdr:cNvSpPr txBox="1"/>
      </xdr:nvSpPr>
      <xdr:spPr>
        <a:xfrm>
          <a:off x="605118" y="41994667"/>
          <a:ext cx="1204010" cy="5658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459441</xdr:colOff>
      <xdr:row>142</xdr:row>
      <xdr:rowOff>224118</xdr:rowOff>
    </xdr:from>
    <xdr:to>
      <xdr:col>8</xdr:col>
      <xdr:colOff>4981</xdr:colOff>
      <xdr:row>144</xdr:row>
      <xdr:rowOff>212912</xdr:rowOff>
    </xdr:to>
    <xdr:sp macro="" textlink="">
      <xdr:nvSpPr>
        <xdr:cNvPr id="27" name="テキスト ボックス 26">
          <a:extLst>
            <a:ext uri="{FF2B5EF4-FFF2-40B4-BE49-F238E27FC236}">
              <a16:creationId xmlns="" xmlns:a16="http://schemas.microsoft.com/office/drawing/2014/main" id="{00000000-0008-0000-0200-00001B000000}"/>
            </a:ext>
          </a:extLst>
        </xdr:cNvPr>
        <xdr:cNvSpPr txBox="1"/>
      </xdr:nvSpPr>
      <xdr:spPr>
        <a:xfrm>
          <a:off x="4523441" y="42028285"/>
          <a:ext cx="794373"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wsDr>
</file>

<file path=xl/drawings/drawing9.xml><?xml version="1.0" encoding="utf-8"?>
<c:userShapes xmlns:c="http://schemas.openxmlformats.org/drawingml/2006/chart">
  <cdr:relSizeAnchor xmlns:cdr="http://schemas.openxmlformats.org/drawingml/2006/chartDrawing">
    <cdr:from>
      <cdr:x>0.00948</cdr:x>
      <cdr:y>0.01585</cdr:y>
    </cdr:from>
    <cdr:to>
      <cdr:x>0.15802</cdr:x>
      <cdr:y>0.11375</cdr:y>
    </cdr:to>
    <cdr:sp macro="" textlink="">
      <cdr:nvSpPr>
        <cdr:cNvPr id="2" name="テキスト ボックス 13"/>
        <cdr:cNvSpPr txBox="1"/>
      </cdr:nvSpPr>
      <cdr:spPr>
        <a:xfrm xmlns:a="http://schemas.openxmlformats.org/drawingml/2006/main">
          <a:off x="50800" y="50800"/>
          <a:ext cx="795617" cy="313764"/>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0"/>
  <sheetViews>
    <sheetView tabSelected="1" zoomScale="85" zoomScaleNormal="85" workbookViewId="0"/>
  </sheetViews>
  <sheetFormatPr defaultColWidth="9" defaultRowHeight="18.75" x14ac:dyDescent="0.15"/>
  <cols>
    <col min="1" max="16384" width="9" style="20"/>
  </cols>
  <sheetData>
    <row r="1" spans="1:10" s="21" customFormat="1" ht="42.75" customHeight="1" x14ac:dyDescent="0.15"/>
    <row r="2" spans="1:10" ht="22.5" customHeight="1" x14ac:dyDescent="0.15"/>
    <row r="3" spans="1:10" ht="22.5" customHeight="1" x14ac:dyDescent="0.15"/>
    <row r="4" spans="1:10" ht="22.5" customHeight="1" x14ac:dyDescent="0.15"/>
    <row r="8" spans="1:10" x14ac:dyDescent="0.15">
      <c r="A8" s="243" t="s">
        <v>322</v>
      </c>
      <c r="B8" s="243"/>
      <c r="C8" s="243"/>
      <c r="D8" s="243"/>
      <c r="E8" s="243"/>
      <c r="F8" s="243"/>
      <c r="G8" s="243"/>
      <c r="H8" s="243"/>
      <c r="I8" s="243"/>
      <c r="J8" s="243"/>
    </row>
    <row r="9" spans="1:10" x14ac:dyDescent="0.15">
      <c r="A9" s="246" t="s">
        <v>357</v>
      </c>
      <c r="B9" s="246"/>
      <c r="C9" s="246"/>
      <c r="D9" s="246"/>
      <c r="E9" s="246"/>
      <c r="F9" s="246"/>
      <c r="G9" s="246"/>
      <c r="H9" s="246"/>
      <c r="I9" s="246"/>
      <c r="J9" s="246"/>
    </row>
    <row r="10" spans="1:10" x14ac:dyDescent="0.15">
      <c r="A10" s="246"/>
      <c r="B10" s="246"/>
      <c r="C10" s="246"/>
      <c r="D10" s="246"/>
      <c r="E10" s="246"/>
      <c r="F10" s="246"/>
      <c r="G10" s="246"/>
      <c r="H10" s="246"/>
      <c r="I10" s="246"/>
      <c r="J10" s="246"/>
    </row>
    <row r="11" spans="1:10" x14ac:dyDescent="0.15">
      <c r="A11" s="246"/>
      <c r="B11" s="246"/>
      <c r="C11" s="246"/>
      <c r="D11" s="246"/>
      <c r="E11" s="246"/>
      <c r="F11" s="246"/>
      <c r="G11" s="246"/>
      <c r="H11" s="246"/>
      <c r="I11" s="246"/>
      <c r="J11" s="246"/>
    </row>
    <row r="12" spans="1:10" x14ac:dyDescent="0.15">
      <c r="A12" s="246"/>
      <c r="B12" s="246"/>
      <c r="C12" s="246"/>
      <c r="D12" s="246"/>
      <c r="E12" s="246"/>
      <c r="F12" s="246"/>
      <c r="G12" s="246"/>
      <c r="H12" s="246"/>
      <c r="I12" s="246"/>
      <c r="J12" s="246"/>
    </row>
    <row r="15" spans="1:10" ht="18.75" customHeight="1" x14ac:dyDescent="0.15">
      <c r="A15" s="244" t="str">
        <f>管理者入力シート!B4</f>
        <v>中堂四枝上畑地域</v>
      </c>
      <c r="B15" s="244"/>
      <c r="C15" s="244"/>
      <c r="D15" s="244"/>
      <c r="E15" s="244"/>
      <c r="F15" s="244"/>
      <c r="G15" s="244"/>
      <c r="H15" s="244"/>
      <c r="I15" s="244"/>
      <c r="J15" s="244"/>
    </row>
    <row r="16" spans="1:10" ht="18.75" customHeight="1" x14ac:dyDescent="0.15">
      <c r="A16" s="244"/>
      <c r="B16" s="244"/>
      <c r="C16" s="244"/>
      <c r="D16" s="244"/>
      <c r="E16" s="244"/>
      <c r="F16" s="244"/>
      <c r="G16" s="244"/>
      <c r="H16" s="244"/>
      <c r="I16" s="244"/>
      <c r="J16" s="244"/>
    </row>
    <row r="19" spans="1:10" ht="18.75" customHeight="1" x14ac:dyDescent="0.15">
      <c r="A19" s="245" t="s">
        <v>358</v>
      </c>
      <c r="B19" s="245"/>
      <c r="C19" s="245"/>
      <c r="D19" s="245"/>
      <c r="E19" s="245"/>
      <c r="F19" s="245"/>
      <c r="G19" s="245"/>
      <c r="H19" s="245"/>
      <c r="I19" s="245"/>
      <c r="J19" s="245"/>
    </row>
    <row r="20" spans="1:10" x14ac:dyDescent="0.15">
      <c r="A20" s="245"/>
      <c r="B20" s="245"/>
      <c r="C20" s="245"/>
      <c r="D20" s="245"/>
      <c r="E20" s="245"/>
      <c r="F20" s="245"/>
      <c r="G20" s="245"/>
      <c r="H20" s="245"/>
      <c r="I20" s="245"/>
      <c r="J20" s="245"/>
    </row>
    <row r="21" spans="1:10" x14ac:dyDescent="0.15">
      <c r="A21" s="245"/>
      <c r="B21" s="245"/>
      <c r="C21" s="245"/>
      <c r="D21" s="245"/>
      <c r="E21" s="245"/>
      <c r="F21" s="245"/>
      <c r="G21" s="245"/>
      <c r="H21" s="245"/>
      <c r="I21" s="245"/>
      <c r="J21" s="245"/>
    </row>
    <row r="22" spans="1:10" x14ac:dyDescent="0.15">
      <c r="A22" s="245"/>
      <c r="B22" s="245"/>
      <c r="C22" s="245"/>
      <c r="D22" s="245"/>
      <c r="E22" s="245"/>
      <c r="F22" s="245"/>
      <c r="G22" s="245"/>
      <c r="H22" s="245"/>
      <c r="I22" s="245"/>
      <c r="J22" s="245"/>
    </row>
    <row r="23" spans="1:10" x14ac:dyDescent="0.15">
      <c r="A23" s="245"/>
      <c r="B23" s="245"/>
      <c r="C23" s="245"/>
      <c r="D23" s="245"/>
      <c r="E23" s="245"/>
      <c r="F23" s="245"/>
      <c r="G23" s="245"/>
      <c r="H23" s="245"/>
      <c r="I23" s="245"/>
      <c r="J23" s="245"/>
    </row>
    <row r="24" spans="1:10" x14ac:dyDescent="0.15">
      <c r="A24" s="245"/>
      <c r="B24" s="245"/>
      <c r="C24" s="245"/>
      <c r="D24" s="245"/>
      <c r="E24" s="245"/>
      <c r="F24" s="245"/>
      <c r="G24" s="245"/>
      <c r="H24" s="245"/>
      <c r="I24" s="245"/>
      <c r="J24" s="245"/>
    </row>
    <row r="25" spans="1:10" x14ac:dyDescent="0.15">
      <c r="A25" s="245"/>
      <c r="B25" s="245"/>
      <c r="C25" s="245"/>
      <c r="D25" s="245"/>
      <c r="E25" s="245"/>
      <c r="F25" s="245"/>
      <c r="G25" s="245"/>
      <c r="H25" s="245"/>
      <c r="I25" s="245"/>
      <c r="J25" s="245"/>
    </row>
    <row r="26" spans="1:10" ht="19.5" thickBot="1" x14ac:dyDescent="0.2"/>
    <row r="27" spans="1:10" x14ac:dyDescent="0.15">
      <c r="A27" s="97" t="s">
        <v>359</v>
      </c>
      <c r="B27" s="98"/>
      <c r="C27" s="98"/>
      <c r="D27" s="98"/>
      <c r="E27" s="98"/>
      <c r="F27" s="98"/>
      <c r="G27" s="98"/>
      <c r="H27" s="98"/>
      <c r="I27" s="98"/>
      <c r="J27" s="99"/>
    </row>
    <row r="28" spans="1:10" x14ac:dyDescent="0.15">
      <c r="A28" s="100" t="s">
        <v>216</v>
      </c>
      <c r="B28" s="84" t="s">
        <v>217</v>
      </c>
      <c r="C28" s="84"/>
      <c r="D28" s="84"/>
      <c r="E28" s="84"/>
      <c r="F28" s="84"/>
      <c r="G28" s="84"/>
      <c r="H28" s="84"/>
      <c r="I28" s="84"/>
      <c r="J28" s="101"/>
    </row>
    <row r="29" spans="1:10" x14ac:dyDescent="0.15">
      <c r="A29" s="102"/>
      <c r="B29" s="84" t="s">
        <v>337</v>
      </c>
      <c r="C29" s="84"/>
      <c r="D29" s="84"/>
      <c r="E29" s="84"/>
      <c r="F29" s="84"/>
      <c r="G29" s="84"/>
      <c r="H29" s="84"/>
      <c r="I29" s="84"/>
      <c r="J29" s="101"/>
    </row>
    <row r="30" spans="1:10" x14ac:dyDescent="0.15">
      <c r="A30" s="102"/>
      <c r="B30" s="84"/>
      <c r="C30" s="84"/>
      <c r="D30" s="84"/>
      <c r="E30" s="84"/>
      <c r="F30" s="84"/>
      <c r="G30" s="84"/>
      <c r="H30" s="84"/>
      <c r="I30" s="84"/>
      <c r="J30" s="101"/>
    </row>
    <row r="31" spans="1:10" x14ac:dyDescent="0.15">
      <c r="A31" s="100" t="s">
        <v>218</v>
      </c>
      <c r="B31" s="84" t="s">
        <v>323</v>
      </c>
      <c r="C31" s="84"/>
      <c r="D31" s="84"/>
      <c r="E31" s="84"/>
      <c r="F31" s="84"/>
      <c r="G31" s="84"/>
      <c r="H31" s="84"/>
      <c r="I31" s="84"/>
      <c r="J31" s="101"/>
    </row>
    <row r="32" spans="1:10" x14ac:dyDescent="0.15">
      <c r="A32" s="102"/>
      <c r="B32" s="84" t="s">
        <v>324</v>
      </c>
      <c r="C32" s="84"/>
      <c r="D32" s="84"/>
      <c r="E32" s="84"/>
      <c r="F32" s="84"/>
      <c r="G32" s="84"/>
      <c r="H32" s="84"/>
      <c r="I32" s="84"/>
      <c r="J32" s="101"/>
    </row>
    <row r="33" spans="1:10" x14ac:dyDescent="0.15">
      <c r="A33" s="102"/>
      <c r="B33" s="84" t="s">
        <v>325</v>
      </c>
      <c r="C33" s="84"/>
      <c r="D33" s="84"/>
      <c r="E33" s="84"/>
      <c r="F33" s="84"/>
      <c r="G33" s="84"/>
      <c r="H33" s="84"/>
      <c r="I33" s="84"/>
      <c r="J33" s="101"/>
    </row>
    <row r="34" spans="1:10" x14ac:dyDescent="0.15">
      <c r="A34" s="102"/>
      <c r="B34" s="84"/>
      <c r="C34" s="84"/>
      <c r="D34" s="84"/>
      <c r="E34" s="84"/>
      <c r="F34" s="84"/>
      <c r="G34" s="84"/>
      <c r="H34" s="84"/>
      <c r="I34" s="84"/>
      <c r="J34" s="101"/>
    </row>
    <row r="35" spans="1:10" x14ac:dyDescent="0.15">
      <c r="A35" s="102"/>
      <c r="B35" s="84"/>
      <c r="C35" s="84"/>
      <c r="D35" s="84"/>
      <c r="E35" s="84"/>
      <c r="F35" s="84"/>
      <c r="G35" s="84"/>
      <c r="H35" s="84"/>
      <c r="I35" s="84"/>
      <c r="J35" s="101"/>
    </row>
    <row r="36" spans="1:10" x14ac:dyDescent="0.15">
      <c r="A36" s="100" t="s">
        <v>219</v>
      </c>
      <c r="B36" s="84" t="s">
        <v>220</v>
      </c>
      <c r="C36" s="84"/>
      <c r="D36" s="84"/>
      <c r="E36" s="84"/>
      <c r="F36" s="84"/>
      <c r="G36" s="84"/>
      <c r="H36" s="84"/>
      <c r="I36" s="84"/>
      <c r="J36" s="101"/>
    </row>
    <row r="37" spans="1:10" x14ac:dyDescent="0.15">
      <c r="A37" s="102"/>
      <c r="B37" s="84" t="s">
        <v>221</v>
      </c>
      <c r="C37" s="84"/>
      <c r="D37" s="84"/>
      <c r="E37" s="84"/>
      <c r="F37" s="84"/>
      <c r="G37" s="84"/>
      <c r="H37" s="84"/>
      <c r="I37" s="84"/>
      <c r="J37" s="101"/>
    </row>
    <row r="38" spans="1:10" x14ac:dyDescent="0.15">
      <c r="A38" s="102"/>
      <c r="B38" s="84" t="s">
        <v>222</v>
      </c>
      <c r="C38" s="84"/>
      <c r="D38" s="84"/>
      <c r="E38" s="84"/>
      <c r="F38" s="84"/>
      <c r="G38" s="84"/>
      <c r="H38" s="84"/>
      <c r="I38" s="84"/>
      <c r="J38" s="101"/>
    </row>
    <row r="39" spans="1:10" x14ac:dyDescent="0.15">
      <c r="A39" s="102"/>
      <c r="B39" s="84" t="s">
        <v>223</v>
      </c>
      <c r="C39" s="84"/>
      <c r="D39" s="84"/>
      <c r="E39" s="84"/>
      <c r="F39" s="84"/>
      <c r="G39" s="84"/>
      <c r="H39" s="84"/>
      <c r="I39" s="84"/>
      <c r="J39" s="101"/>
    </row>
    <row r="40" spans="1:10" ht="19.5" thickBot="1" x14ac:dyDescent="0.2">
      <c r="A40" s="103"/>
      <c r="B40" s="104"/>
      <c r="C40" s="104"/>
      <c r="D40" s="104"/>
      <c r="E40" s="104"/>
      <c r="F40" s="104"/>
      <c r="G40" s="104"/>
      <c r="H40" s="104"/>
      <c r="I40" s="104"/>
      <c r="J40" s="105"/>
    </row>
  </sheetData>
  <mergeCells count="4">
    <mergeCell ref="A8:J8"/>
    <mergeCell ref="A15:J16"/>
    <mergeCell ref="A19:J25"/>
    <mergeCell ref="A9:J12"/>
  </mergeCells>
  <phoneticPr fontId="2"/>
  <printOptions horizontalCentered="1"/>
  <pageMargins left="0.70866141732283472" right="0.70866141732283472" top="0.74803149606299213" bottom="0.74803149606299213" header="0.31496062992125984" footer="0.31496062992125984"/>
  <pageSetup paperSize="9" scale="90" fitToHeight="0" orientation="portrait" useFirstPageNumber="1" r:id="rId1"/>
  <headerFooter>
    <oddHeader>&amp;L&amp;"HG丸ｺﾞｼｯｸM-PRO,標準"&amp;16【&amp;A】</oddHeader>
    <oddFooter>&amp;C&amp;"HG丸ｺﾞｼｯｸM-PRO,標準"&amp;16 &amp;P</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P18"/>
  <sheetViews>
    <sheetView zoomScaleNormal="100" workbookViewId="0">
      <pane ySplit="6" topLeftCell="A7" activePane="bottomLeft" state="frozen"/>
      <selection pane="bottomLeft" sqref="A1:A2"/>
    </sheetView>
  </sheetViews>
  <sheetFormatPr defaultRowHeight="13.5" x14ac:dyDescent="0.15"/>
  <cols>
    <col min="1" max="1" width="8.625" customWidth="1"/>
    <col min="2" max="2" width="12.125" customWidth="1"/>
    <col min="3" max="3" width="14.875" bestFit="1" customWidth="1"/>
    <col min="4" max="17" width="8" customWidth="1"/>
    <col min="18" max="46" width="8.125" customWidth="1"/>
    <col min="62" max="62" width="10.625" bestFit="1" customWidth="1"/>
    <col min="89" max="92" width="10.625" bestFit="1" customWidth="1"/>
  </cols>
  <sheetData>
    <row r="1" spans="1:94" x14ac:dyDescent="0.15">
      <c r="A1" s="323" t="s">
        <v>127</v>
      </c>
      <c r="B1" s="324" t="s">
        <v>128</v>
      </c>
      <c r="C1" s="326" t="s">
        <v>129</v>
      </c>
      <c r="D1" s="328" t="s">
        <v>130</v>
      </c>
      <c r="E1" s="328"/>
      <c r="F1" s="328"/>
      <c r="G1" s="328"/>
      <c r="H1" s="328"/>
      <c r="I1" s="328"/>
      <c r="J1" s="328"/>
      <c r="K1" s="296" t="s">
        <v>131</v>
      </c>
      <c r="L1" s="296"/>
      <c r="M1" s="296"/>
      <c r="N1" s="296"/>
      <c r="O1" s="296"/>
      <c r="P1" s="296"/>
      <c r="Q1" s="296"/>
      <c r="R1" s="329" t="s">
        <v>132</v>
      </c>
      <c r="S1" s="330"/>
      <c r="T1" s="330"/>
      <c r="U1" s="330"/>
      <c r="V1" s="330"/>
      <c r="W1" s="330"/>
      <c r="X1" s="330"/>
      <c r="Y1" s="330"/>
      <c r="Z1" s="330"/>
      <c r="AA1" s="330"/>
      <c r="AB1" s="330"/>
      <c r="AC1" s="330"/>
      <c r="AD1" s="330"/>
      <c r="AE1" s="330"/>
      <c r="AF1" s="330"/>
      <c r="AG1" s="330"/>
      <c r="AH1" s="330"/>
      <c r="AI1" s="330"/>
      <c r="AJ1" s="330"/>
      <c r="AK1" s="330"/>
      <c r="AL1" s="330"/>
      <c r="AM1" s="330"/>
      <c r="AN1" s="330"/>
      <c r="AO1" s="331"/>
      <c r="AP1" s="317" t="s">
        <v>133</v>
      </c>
      <c r="AQ1" s="318"/>
      <c r="AR1" s="318"/>
      <c r="AS1" s="318"/>
      <c r="AT1" s="318"/>
      <c r="AU1" s="318"/>
      <c r="AV1" s="318"/>
      <c r="AW1" s="318"/>
      <c r="AX1" s="318"/>
      <c r="AY1" s="318"/>
      <c r="AZ1" s="318"/>
      <c r="BA1" s="318"/>
      <c r="BB1" s="318"/>
      <c r="BC1" s="318"/>
      <c r="BD1" s="318"/>
      <c r="BE1" s="318"/>
      <c r="BF1" s="318"/>
      <c r="BG1" s="318"/>
      <c r="BH1" s="318"/>
      <c r="BI1" s="318"/>
      <c r="BJ1" s="318"/>
      <c r="BK1" s="318"/>
      <c r="BL1" s="318"/>
      <c r="BM1" s="318"/>
      <c r="BN1" s="318"/>
      <c r="BO1" s="318"/>
      <c r="BP1" s="318"/>
      <c r="BQ1" s="318"/>
      <c r="BR1" s="318"/>
      <c r="BS1" s="318"/>
      <c r="BT1" s="318"/>
      <c r="BU1" s="318"/>
      <c r="BV1" s="318"/>
      <c r="BW1" s="318"/>
      <c r="BX1" s="318"/>
      <c r="BY1" s="318"/>
      <c r="BZ1" s="318"/>
      <c r="CA1" s="318"/>
      <c r="CB1" s="319"/>
      <c r="CC1" s="320" t="s">
        <v>134</v>
      </c>
      <c r="CD1" s="321"/>
      <c r="CE1" s="321"/>
      <c r="CF1" s="321"/>
      <c r="CG1" s="321"/>
      <c r="CH1" s="321"/>
      <c r="CI1" s="321"/>
      <c r="CJ1" s="321"/>
      <c r="CK1" s="321"/>
      <c r="CL1" s="321"/>
      <c r="CM1" s="321"/>
      <c r="CN1" s="321"/>
      <c r="CO1" s="321"/>
      <c r="CP1" s="322"/>
    </row>
    <row r="2" spans="1:94" s="80" customFormat="1" ht="60" x14ac:dyDescent="0.15">
      <c r="A2" s="324"/>
      <c r="B2" s="325"/>
      <c r="C2" s="327"/>
      <c r="D2" s="135" t="s">
        <v>135</v>
      </c>
      <c r="E2" s="136" t="s">
        <v>136</v>
      </c>
      <c r="F2" s="136" t="s">
        <v>137</v>
      </c>
      <c r="G2" s="137" t="s">
        <v>138</v>
      </c>
      <c r="H2" s="138" t="s">
        <v>139</v>
      </c>
      <c r="I2" s="136" t="s">
        <v>140</v>
      </c>
      <c r="J2" s="139" t="s">
        <v>141</v>
      </c>
      <c r="K2" s="79" t="s">
        <v>142</v>
      </c>
      <c r="L2" s="136" t="s">
        <v>143</v>
      </c>
      <c r="M2" s="136" t="s">
        <v>144</v>
      </c>
      <c r="N2" s="137" t="s">
        <v>145</v>
      </c>
      <c r="O2" s="138" t="s">
        <v>146</v>
      </c>
      <c r="P2" s="136" t="s">
        <v>147</v>
      </c>
      <c r="Q2" s="139" t="s">
        <v>148</v>
      </c>
      <c r="R2" s="138" t="s">
        <v>142</v>
      </c>
      <c r="S2" s="136" t="s">
        <v>149</v>
      </c>
      <c r="T2" s="136" t="s">
        <v>150</v>
      </c>
      <c r="U2" s="136" t="s">
        <v>151</v>
      </c>
      <c r="V2" s="136" t="s">
        <v>152</v>
      </c>
      <c r="W2" s="137" t="s">
        <v>153</v>
      </c>
      <c r="X2" s="138" t="s">
        <v>154</v>
      </c>
      <c r="Y2" s="136" t="s">
        <v>155</v>
      </c>
      <c r="Z2" s="136" t="s">
        <v>156</v>
      </c>
      <c r="AA2" s="136" t="s">
        <v>157</v>
      </c>
      <c r="AB2" s="136" t="s">
        <v>158</v>
      </c>
      <c r="AC2" s="139" t="s">
        <v>159</v>
      </c>
      <c r="AD2" s="138" t="s">
        <v>160</v>
      </c>
      <c r="AE2" s="136" t="s">
        <v>161</v>
      </c>
      <c r="AF2" s="136" t="s">
        <v>162</v>
      </c>
      <c r="AG2" s="136" t="s">
        <v>163</v>
      </c>
      <c r="AH2" s="136" t="s">
        <v>164</v>
      </c>
      <c r="AI2" s="139" t="s">
        <v>165</v>
      </c>
      <c r="AJ2" s="138" t="s">
        <v>166</v>
      </c>
      <c r="AK2" s="136" t="s">
        <v>167</v>
      </c>
      <c r="AL2" s="136" t="s">
        <v>168</v>
      </c>
      <c r="AM2" s="136" t="s">
        <v>169</v>
      </c>
      <c r="AN2" s="136" t="s">
        <v>170</v>
      </c>
      <c r="AO2" s="139" t="s">
        <v>171</v>
      </c>
      <c r="AP2" s="140" t="s">
        <v>172</v>
      </c>
      <c r="AQ2" s="141" t="s">
        <v>173</v>
      </c>
      <c r="AR2" s="136" t="s">
        <v>174</v>
      </c>
      <c r="AS2" s="136" t="s">
        <v>175</v>
      </c>
      <c r="AT2" s="136" t="s">
        <v>176</v>
      </c>
      <c r="AU2" s="136" t="s">
        <v>177</v>
      </c>
      <c r="AV2" s="136" t="s">
        <v>178</v>
      </c>
      <c r="AW2" s="136" t="s">
        <v>179</v>
      </c>
      <c r="AX2" s="136" t="s">
        <v>180</v>
      </c>
      <c r="AY2" s="136" t="s">
        <v>181</v>
      </c>
      <c r="AZ2" s="136" t="s">
        <v>182</v>
      </c>
      <c r="BA2" s="136" t="s">
        <v>183</v>
      </c>
      <c r="BB2" s="136" t="s">
        <v>184</v>
      </c>
      <c r="BC2" s="136" t="s">
        <v>185</v>
      </c>
      <c r="BD2" s="136" t="s">
        <v>186</v>
      </c>
      <c r="BE2" s="136" t="s">
        <v>187</v>
      </c>
      <c r="BF2" s="136" t="s">
        <v>188</v>
      </c>
      <c r="BG2" s="136" t="s">
        <v>189</v>
      </c>
      <c r="BH2" s="136" t="s">
        <v>190</v>
      </c>
      <c r="BI2" s="139" t="s">
        <v>191</v>
      </c>
      <c r="BJ2" s="141" t="s">
        <v>301</v>
      </c>
      <c r="BK2" s="136" t="s">
        <v>209</v>
      </c>
      <c r="BL2" s="136" t="s">
        <v>302</v>
      </c>
      <c r="BM2" s="136" t="s">
        <v>210</v>
      </c>
      <c r="BN2" s="136" t="s">
        <v>211</v>
      </c>
      <c r="BO2" s="136" t="s">
        <v>212</v>
      </c>
      <c r="BP2" s="136" t="s">
        <v>213</v>
      </c>
      <c r="BQ2" s="136" t="s">
        <v>303</v>
      </c>
      <c r="BR2" s="136" t="s">
        <v>304</v>
      </c>
      <c r="BS2" s="136" t="s">
        <v>305</v>
      </c>
      <c r="BT2" s="136" t="s">
        <v>306</v>
      </c>
      <c r="BU2" s="136" t="s">
        <v>307</v>
      </c>
      <c r="BV2" s="136" t="s">
        <v>308</v>
      </c>
      <c r="BW2" s="136" t="s">
        <v>309</v>
      </c>
      <c r="BX2" s="136" t="s">
        <v>310</v>
      </c>
      <c r="BY2" s="136" t="s">
        <v>311</v>
      </c>
      <c r="BZ2" s="136" t="s">
        <v>214</v>
      </c>
      <c r="CA2" s="136" t="s">
        <v>312</v>
      </c>
      <c r="CB2" s="139" t="s">
        <v>215</v>
      </c>
      <c r="CC2" s="135" t="s">
        <v>192</v>
      </c>
      <c r="CD2" s="141" t="s">
        <v>193</v>
      </c>
      <c r="CE2" s="141" t="s">
        <v>194</v>
      </c>
      <c r="CF2" s="142" t="s">
        <v>195</v>
      </c>
      <c r="CG2" s="135" t="s">
        <v>196</v>
      </c>
      <c r="CH2" s="141" t="s">
        <v>197</v>
      </c>
      <c r="CI2" s="141" t="s">
        <v>198</v>
      </c>
      <c r="CJ2" s="142" t="s">
        <v>199</v>
      </c>
      <c r="CK2" s="135" t="s">
        <v>200</v>
      </c>
      <c r="CL2" s="141" t="s">
        <v>201</v>
      </c>
      <c r="CM2" s="142" t="s">
        <v>202</v>
      </c>
      <c r="CN2" s="135" t="s">
        <v>203</v>
      </c>
      <c r="CO2" s="141" t="s">
        <v>204</v>
      </c>
      <c r="CP2" s="142" t="s">
        <v>205</v>
      </c>
    </row>
    <row r="3" spans="1:94" s="80" customFormat="1" x14ac:dyDescent="0.15">
      <c r="A3" s="88"/>
      <c r="B3" s="88" t="s">
        <v>283</v>
      </c>
      <c r="C3" s="88" t="s">
        <v>283</v>
      </c>
      <c r="D3" s="185">
        <v>468575.00000000006</v>
      </c>
      <c r="E3" s="186">
        <v>216053.99999999991</v>
      </c>
      <c r="F3" s="186">
        <v>72768</v>
      </c>
      <c r="G3" s="187">
        <v>70639.000000000015</v>
      </c>
      <c r="H3" s="148">
        <v>0.46108733927332846</v>
      </c>
      <c r="I3" s="149">
        <v>0.15529637731419729</v>
      </c>
      <c r="J3" s="150">
        <v>0.15075281438403673</v>
      </c>
      <c r="K3" s="185">
        <v>1069576</v>
      </c>
      <c r="L3" s="186">
        <v>112114.99999999999</v>
      </c>
      <c r="M3" s="186">
        <v>371766.99999999994</v>
      </c>
      <c r="N3" s="187">
        <v>511426.99999999994</v>
      </c>
      <c r="O3" s="148">
        <v>0.10482191073846084</v>
      </c>
      <c r="P3" s="149">
        <v>0.34758352842621743</v>
      </c>
      <c r="Q3" s="150">
        <v>0.47815863482351878</v>
      </c>
      <c r="R3" s="143">
        <v>1069576</v>
      </c>
      <c r="S3" s="145">
        <v>136010.00000000006</v>
      </c>
      <c r="T3" s="145">
        <v>41998.999999999978</v>
      </c>
      <c r="U3" s="144">
        <v>44855</v>
      </c>
      <c r="V3" s="144">
        <v>4371.0000000000018</v>
      </c>
      <c r="W3" s="146">
        <v>227235</v>
      </c>
      <c r="X3" s="143">
        <v>504762.99999999994</v>
      </c>
      <c r="Y3" s="144">
        <v>60477.999999999985</v>
      </c>
      <c r="Z3" s="144">
        <v>20228.000000000007</v>
      </c>
      <c r="AA3" s="144">
        <v>25200</v>
      </c>
      <c r="AB3" s="144">
        <v>1824</v>
      </c>
      <c r="AC3" s="146">
        <v>107729.99999999996</v>
      </c>
      <c r="AD3" s="143">
        <v>564813.00000000023</v>
      </c>
      <c r="AE3" s="144">
        <v>75532</v>
      </c>
      <c r="AF3" s="144">
        <v>21771.000000000011</v>
      </c>
      <c r="AG3" s="144">
        <v>19654.999999999996</v>
      </c>
      <c r="AH3" s="144">
        <v>2546.9999999999991</v>
      </c>
      <c r="AI3" s="146">
        <v>119504.99999999999</v>
      </c>
      <c r="AJ3" s="148">
        <v>0.21245334599878832</v>
      </c>
      <c r="AK3" s="149">
        <v>0.18482628116267291</v>
      </c>
      <c r="AL3" s="149">
        <v>0.19739476753141022</v>
      </c>
      <c r="AM3" s="149">
        <v>1.923559310845601E-2</v>
      </c>
      <c r="AN3" s="147">
        <v>0.47409069905604312</v>
      </c>
      <c r="AO3" s="150">
        <v>0.5259093009439566</v>
      </c>
      <c r="AP3" s="143">
        <v>498592.00000000023</v>
      </c>
      <c r="AQ3" s="144">
        <v>46600.999999999993</v>
      </c>
      <c r="AR3" s="144">
        <v>2573.9999999999995</v>
      </c>
      <c r="AS3" s="144">
        <v>119</v>
      </c>
      <c r="AT3" s="144">
        <v>41697.000000000015</v>
      </c>
      <c r="AU3" s="144">
        <v>59731.000000000007</v>
      </c>
      <c r="AV3" s="144">
        <v>2292.0000000000009</v>
      </c>
      <c r="AW3" s="144">
        <v>6439.9999999999991</v>
      </c>
      <c r="AX3" s="144">
        <v>19650.000000000007</v>
      </c>
      <c r="AY3" s="144">
        <v>72716.000000000015</v>
      </c>
      <c r="AZ3" s="144">
        <v>9722.9999999999945</v>
      </c>
      <c r="BA3" s="144">
        <v>6355.0000000000018</v>
      </c>
      <c r="BB3" s="144">
        <v>12105</v>
      </c>
      <c r="BC3" s="144">
        <v>25016.999999999996</v>
      </c>
      <c r="BD3" s="144">
        <v>16998.999999999996</v>
      </c>
      <c r="BE3" s="144">
        <v>25490.000000000011</v>
      </c>
      <c r="BF3" s="144">
        <v>83198.999999999985</v>
      </c>
      <c r="BG3" s="144">
        <v>6219.0000000000018</v>
      </c>
      <c r="BH3" s="144">
        <v>28572</v>
      </c>
      <c r="BI3" s="146">
        <v>23419.000000000004</v>
      </c>
      <c r="BJ3" s="147">
        <v>9.3465197997561075E-2</v>
      </c>
      <c r="BK3" s="149">
        <v>5.162537706180601E-3</v>
      </c>
      <c r="BL3" s="149">
        <v>2.3867210063538915E-4</v>
      </c>
      <c r="BM3" s="149">
        <v>8.3629500673897683E-2</v>
      </c>
      <c r="BN3" s="149">
        <v>0.11979935498363387</v>
      </c>
      <c r="BO3" s="149">
        <v>4.5969449971118665E-3</v>
      </c>
      <c r="BP3" s="149">
        <v>1.2916372504973999E-2</v>
      </c>
      <c r="BQ3" s="149">
        <v>3.9410981323406709E-2</v>
      </c>
      <c r="BR3" s="149">
        <v>0.14584269302355429</v>
      </c>
      <c r="BS3" s="149">
        <v>1.9500914575444433E-2</v>
      </c>
      <c r="BT3" s="149">
        <v>1.2745892433091583E-2</v>
      </c>
      <c r="BU3" s="149">
        <v>2.4278367883961222E-2</v>
      </c>
      <c r="BV3" s="149">
        <v>5.017529362685319E-2</v>
      </c>
      <c r="BW3" s="149">
        <v>3.4094008728579657E-2</v>
      </c>
      <c r="BX3" s="149">
        <v>5.1123965085681275E-2</v>
      </c>
      <c r="BY3" s="149">
        <v>0.16686790000641796</v>
      </c>
      <c r="BZ3" s="149">
        <v>1.2473124318079711E-2</v>
      </c>
      <c r="CA3" s="149">
        <v>5.730537192734738E-2</v>
      </c>
      <c r="CB3" s="150">
        <v>4.6970268275463689E-2</v>
      </c>
      <c r="CC3" s="143">
        <v>498592.00000000023</v>
      </c>
      <c r="CD3" s="144">
        <v>412571.00000000023</v>
      </c>
      <c r="CE3" s="144">
        <v>70576.000000000015</v>
      </c>
      <c r="CF3" s="144">
        <v>7434.9999999999982</v>
      </c>
      <c r="CG3" s="143">
        <v>43141</v>
      </c>
      <c r="CH3" s="144">
        <v>33185.000000000007</v>
      </c>
      <c r="CI3" s="144">
        <v>8082.9999999999973</v>
      </c>
      <c r="CJ3" s="144">
        <v>813.99999999999966</v>
      </c>
      <c r="CK3" s="148">
        <v>0.82747216160708559</v>
      </c>
      <c r="CL3" s="149">
        <v>0.14155060650792628</v>
      </c>
      <c r="CM3" s="150">
        <v>1.491199216995057E-2</v>
      </c>
      <c r="CN3" s="148">
        <v>0.76922185392086428</v>
      </c>
      <c r="CO3" s="149">
        <v>0.18736236990334015</v>
      </c>
      <c r="CP3" s="150">
        <v>1.8868361883127412E-2</v>
      </c>
    </row>
    <row r="4" spans="1:94" s="80" customFormat="1" x14ac:dyDescent="0.15">
      <c r="A4" s="88"/>
      <c r="B4" s="88" t="str">
        <f>B5&amp;"平均"</f>
        <v>綾町平均</v>
      </c>
      <c r="C4" s="88" t="str">
        <f>B4</f>
        <v>綾町平均</v>
      </c>
      <c r="D4" s="185">
        <f>SUM(D7:D70)</f>
        <v>2851</v>
      </c>
      <c r="E4" s="186">
        <f>SUM(E7:E70)</f>
        <v>1603</v>
      </c>
      <c r="F4" s="186">
        <f>SUM(F7:F70)</f>
        <v>578</v>
      </c>
      <c r="G4" s="187">
        <f>SUM(G7:G70)</f>
        <v>482</v>
      </c>
      <c r="H4" s="148">
        <f>E4/D4</f>
        <v>0.56225885654156438</v>
      </c>
      <c r="I4" s="149">
        <f>F4/D4</f>
        <v>0.20273588214661523</v>
      </c>
      <c r="J4" s="150">
        <f>G4/D4</f>
        <v>0.16906348649596634</v>
      </c>
      <c r="K4" s="185">
        <f>SUM(K7:K70)</f>
        <v>6934</v>
      </c>
      <c r="L4" s="186">
        <f>SUM(L7:L70)</f>
        <v>939</v>
      </c>
      <c r="M4" s="186">
        <f>SUM(M7:M70)</f>
        <v>2231</v>
      </c>
      <c r="N4" s="187">
        <f>SUM(N7:N70)</f>
        <v>3667</v>
      </c>
      <c r="O4" s="148">
        <f>L4/K4</f>
        <v>0.13541967118546294</v>
      </c>
      <c r="P4" s="149">
        <f>M4/K4</f>
        <v>0.32174790885491777</v>
      </c>
      <c r="Q4" s="150">
        <f>N4/K4</f>
        <v>0.5288433804441881</v>
      </c>
      <c r="R4" s="185">
        <f>SUM(R7:R70)</f>
        <v>6934</v>
      </c>
      <c r="S4" s="145">
        <f>SUM(S7:S70)</f>
        <v>605</v>
      </c>
      <c r="T4" s="145">
        <f>SUM(T7:T70)</f>
        <v>453</v>
      </c>
      <c r="U4" s="144">
        <f>SUM(U7:U70)</f>
        <v>174</v>
      </c>
      <c r="V4" s="144">
        <f>SUM(V7:V70)</f>
        <v>12</v>
      </c>
      <c r="W4" s="146">
        <f>S4+T4+U4+V4</f>
        <v>1244</v>
      </c>
      <c r="X4" s="143">
        <f>SUM(X7:X70)</f>
        <v>3267</v>
      </c>
      <c r="Y4" s="144">
        <f>SUM(Y7:Y70)</f>
        <v>277</v>
      </c>
      <c r="Z4" s="144">
        <f>SUM(Z7:Z70)</f>
        <v>217</v>
      </c>
      <c r="AA4" s="144">
        <f>SUM(AA7:AA70)</f>
        <v>96</v>
      </c>
      <c r="AB4" s="144">
        <f>SUM(AB7:AB70)</f>
        <v>8</v>
      </c>
      <c r="AC4" s="146">
        <f>Y4+Z4+AA4+AB4</f>
        <v>598</v>
      </c>
      <c r="AD4" s="143">
        <f>SUM(AD7:AD70)</f>
        <v>3667</v>
      </c>
      <c r="AE4" s="143">
        <f t="shared" ref="AE4:AH4" si="0">SUM(AE7:AE70)</f>
        <v>328</v>
      </c>
      <c r="AF4" s="143">
        <f t="shared" si="0"/>
        <v>236</v>
      </c>
      <c r="AG4" s="143">
        <f t="shared" si="0"/>
        <v>78</v>
      </c>
      <c r="AH4" s="143">
        <f t="shared" si="0"/>
        <v>4</v>
      </c>
      <c r="AI4" s="146">
        <f>AE4+AF4+AG4+AH4</f>
        <v>646</v>
      </c>
      <c r="AJ4" s="148">
        <f>W4/R4</f>
        <v>0.17940582636284971</v>
      </c>
      <c r="AK4" s="149">
        <f>T4/W4</f>
        <v>0.36414790996784568</v>
      </c>
      <c r="AL4" s="149">
        <f>U4/W4</f>
        <v>0.13987138263665594</v>
      </c>
      <c r="AM4" s="149">
        <f>V4/W4</f>
        <v>9.6463022508038593E-3</v>
      </c>
      <c r="AN4" s="147">
        <f>AC4/W4</f>
        <v>0.48070739549839231</v>
      </c>
      <c r="AO4" s="150">
        <f>AI4/W4</f>
        <v>0.51929260450160775</v>
      </c>
      <c r="AP4" s="143">
        <f>SUM(AP7:AP70)</f>
        <v>3429</v>
      </c>
      <c r="AQ4" s="144">
        <f t="shared" ref="AQ4:BI4" si="1">SUM(AQ7:AQ70)</f>
        <v>737</v>
      </c>
      <c r="AR4" s="144">
        <f t="shared" si="1"/>
        <v>4</v>
      </c>
      <c r="AS4" s="144">
        <f t="shared" si="1"/>
        <v>1</v>
      </c>
      <c r="AT4" s="144">
        <f t="shared" si="1"/>
        <v>298</v>
      </c>
      <c r="AU4" s="144">
        <f t="shared" si="1"/>
        <v>482</v>
      </c>
      <c r="AV4" s="144">
        <f t="shared" si="1"/>
        <v>6</v>
      </c>
      <c r="AW4" s="144">
        <f t="shared" si="1"/>
        <v>31</v>
      </c>
      <c r="AX4" s="144">
        <f t="shared" si="1"/>
        <v>119</v>
      </c>
      <c r="AY4" s="144">
        <f t="shared" si="1"/>
        <v>383</v>
      </c>
      <c r="AZ4" s="144">
        <f t="shared" si="1"/>
        <v>45</v>
      </c>
      <c r="BA4" s="144">
        <f t="shared" si="1"/>
        <v>27</v>
      </c>
      <c r="BB4" s="144">
        <f t="shared" si="1"/>
        <v>43</v>
      </c>
      <c r="BC4" s="144">
        <f t="shared" si="1"/>
        <v>145</v>
      </c>
      <c r="BD4" s="144">
        <f t="shared" si="1"/>
        <v>88</v>
      </c>
      <c r="BE4" s="144">
        <f t="shared" si="1"/>
        <v>116</v>
      </c>
      <c r="BF4" s="144">
        <f t="shared" si="1"/>
        <v>501</v>
      </c>
      <c r="BG4" s="144">
        <f t="shared" si="1"/>
        <v>76</v>
      </c>
      <c r="BH4" s="144">
        <f t="shared" si="1"/>
        <v>190</v>
      </c>
      <c r="BI4" s="146">
        <f t="shared" si="1"/>
        <v>118</v>
      </c>
      <c r="BJ4" s="147">
        <f>IF($AP4=0,0,AQ4/$AP4)</f>
        <v>0.21493146689997084</v>
      </c>
      <c r="BK4" s="149">
        <f t="shared" ref="BK4:CB4" si="2">IF($AP4=0,0,AR4/$AP4)</f>
        <v>1.1665208515602217E-3</v>
      </c>
      <c r="BL4" s="149">
        <f t="shared" si="2"/>
        <v>2.9163021289005544E-4</v>
      </c>
      <c r="BM4" s="149">
        <f t="shared" si="2"/>
        <v>8.6905803441236509E-2</v>
      </c>
      <c r="BN4" s="149">
        <f t="shared" si="2"/>
        <v>0.14056576261300671</v>
      </c>
      <c r="BO4" s="149">
        <f t="shared" si="2"/>
        <v>1.7497812773403325E-3</v>
      </c>
      <c r="BP4" s="149">
        <f t="shared" si="2"/>
        <v>9.0405365995917183E-3</v>
      </c>
      <c r="BQ4" s="149">
        <f t="shared" si="2"/>
        <v>3.4703995333916597E-2</v>
      </c>
      <c r="BR4" s="149">
        <f t="shared" si="2"/>
        <v>0.11169437153689123</v>
      </c>
      <c r="BS4" s="149">
        <f t="shared" si="2"/>
        <v>1.3123359580052493E-2</v>
      </c>
      <c r="BT4" s="149">
        <f t="shared" si="2"/>
        <v>7.874015748031496E-3</v>
      </c>
      <c r="BU4" s="149">
        <f t="shared" si="2"/>
        <v>1.2540099154272382E-2</v>
      </c>
      <c r="BV4" s="149">
        <f t="shared" si="2"/>
        <v>4.2286380869058032E-2</v>
      </c>
      <c r="BW4" s="149">
        <f t="shared" si="2"/>
        <v>2.5663458734324875E-2</v>
      </c>
      <c r="BX4" s="149">
        <f t="shared" si="2"/>
        <v>3.3829104695246429E-2</v>
      </c>
      <c r="BY4" s="149">
        <f t="shared" si="2"/>
        <v>0.14610673665791776</v>
      </c>
      <c r="BZ4" s="149">
        <f t="shared" si="2"/>
        <v>2.2163896179644212E-2</v>
      </c>
      <c r="CA4" s="149">
        <f t="shared" si="2"/>
        <v>5.5409740449110526E-2</v>
      </c>
      <c r="CB4" s="150">
        <f t="shared" si="2"/>
        <v>3.4412365121026536E-2</v>
      </c>
      <c r="CC4" s="143">
        <f>SUM(CC7:CC70)</f>
        <v>3429</v>
      </c>
      <c r="CD4" s="144">
        <f t="shared" ref="CD4:CI4" si="3">SUM(CD7:CD70)</f>
        <v>2035</v>
      </c>
      <c r="CE4" s="144">
        <f t="shared" si="3"/>
        <v>1362</v>
      </c>
      <c r="CF4" s="144">
        <f t="shared" si="3"/>
        <v>13</v>
      </c>
      <c r="CG4" s="143">
        <f t="shared" si="3"/>
        <v>242</v>
      </c>
      <c r="CH4" s="144">
        <f t="shared" si="3"/>
        <v>41</v>
      </c>
      <c r="CI4" s="144">
        <f t="shared" si="3"/>
        <v>193</v>
      </c>
      <c r="CJ4" s="144">
        <f>SUM(CJ7:CJ70)</f>
        <v>4</v>
      </c>
      <c r="CK4" s="148">
        <f t="shared" ref="CK4:CM4" si="4">IF($CC4=0,0,CD4/$CC4)</f>
        <v>0.59346748323126275</v>
      </c>
      <c r="CL4" s="149">
        <f t="shared" si="4"/>
        <v>0.39720034995625547</v>
      </c>
      <c r="CM4" s="150">
        <f t="shared" si="4"/>
        <v>3.7911927675707202E-3</v>
      </c>
      <c r="CN4" s="148">
        <f t="shared" ref="CN4:CP4" si="5">IF($CG4=0,0,CH4/$CG4)</f>
        <v>0.16942148760330578</v>
      </c>
      <c r="CO4" s="149">
        <f t="shared" si="5"/>
        <v>0.7975206611570248</v>
      </c>
      <c r="CP4" s="150">
        <f t="shared" si="5"/>
        <v>1.6528925619834711E-2</v>
      </c>
    </row>
    <row r="5" spans="1:94" s="181" customFormat="1" x14ac:dyDescent="0.15">
      <c r="A5" s="183" t="str">
        <f>管理者入力シート!B2</f>
        <v>45383_4</v>
      </c>
      <c r="B5" s="201" t="str">
        <f>VLOOKUP($A$5,$A$7:$CP$50,2,FALSE)</f>
        <v>綾町</v>
      </c>
      <c r="C5" s="201" t="str">
        <f>VLOOKUP($A$5,$A$7:$CP$50,3,FALSE)</f>
        <v>中堂四枝上畑地域</v>
      </c>
      <c r="D5" s="188">
        <f>VLOOKUP($A$5,$A$7:$CP$70,4,FALSE)</f>
        <v>302</v>
      </c>
      <c r="E5" s="189">
        <f>VLOOKUP($A$5,$A$7:$CP$70,5,FALSE)</f>
        <v>200</v>
      </c>
      <c r="F5" s="189">
        <f>VLOOKUP($A$5,$A$7:$CP$70,6,FALSE)</f>
        <v>58</v>
      </c>
      <c r="G5" s="190">
        <f>VLOOKUP($A$5,$A$7:$CP$70,7,FALSE)</f>
        <v>68</v>
      </c>
      <c r="H5" s="178">
        <f>VLOOKUP($A$5,$A$7:$CP$70,8,FALSE)</f>
        <v>0.66225165562913912</v>
      </c>
      <c r="I5" s="179">
        <f>VLOOKUP($A$5,$A$7:$CP$70,9,FALSE)</f>
        <v>0.19205298013245034</v>
      </c>
      <c r="J5" s="180">
        <f>VLOOKUP($A$5,$A$7:$CP$70,10,FALSE)</f>
        <v>0.2251655629139073</v>
      </c>
      <c r="K5" s="188">
        <f>VLOOKUP($A$5,$A$7:$CP$70,11,FALSE)</f>
        <v>696</v>
      </c>
      <c r="L5" s="189">
        <f>VLOOKUP($A$5,$A$7:$CP$70,12,FALSE)</f>
        <v>137</v>
      </c>
      <c r="M5" s="189">
        <f>VLOOKUP($A$5,$A$7:$CP$70,13,FALSE)</f>
        <v>152</v>
      </c>
      <c r="N5" s="190">
        <f>VLOOKUP($A$5,$A$7:$CP$70,14,FALSE)</f>
        <v>399</v>
      </c>
      <c r="O5" s="178">
        <f>VLOOKUP($A$5,$A$7:$CP$70,15,FALSE)</f>
        <v>0.19683908045977011</v>
      </c>
      <c r="P5" s="179">
        <f>VLOOKUP($A$5,$A$7:$CP$70,16,FALSE)</f>
        <v>0.21839080459770116</v>
      </c>
      <c r="Q5" s="180">
        <f>VLOOKUP($A$5,$A$7:$CP$70,17,FALSE)</f>
        <v>0.57327586206896552</v>
      </c>
      <c r="R5" s="188">
        <f>VLOOKUP($A$5,$A$7:$CP$70,18,FALSE)</f>
        <v>696</v>
      </c>
      <c r="S5" s="189">
        <f>VLOOKUP($A$5,$A$7:$CP$70,19,FALSE)</f>
        <v>25</v>
      </c>
      <c r="T5" s="189">
        <f>VLOOKUP($A$5,$A$7:$CP$70,20,FALSE)</f>
        <v>49</v>
      </c>
      <c r="U5" s="189">
        <f>VLOOKUP($A$5,$A$7:$CP$70,21,FALSE)</f>
        <v>7</v>
      </c>
      <c r="V5" s="189">
        <f>VLOOKUP($A$5,$A$7:$CP$70,22,FALSE)</f>
        <v>0</v>
      </c>
      <c r="W5" s="190">
        <f>VLOOKUP($A$5,$A$7:$CP$70,23,FALSE)</f>
        <v>81</v>
      </c>
      <c r="X5" s="188">
        <f>VLOOKUP($A$5,$A$7:$CP$70,24,FALSE)</f>
        <v>321</v>
      </c>
      <c r="Y5" s="189">
        <f>VLOOKUP($A$5,$A$7:$CP$70,25,FALSE)</f>
        <v>17</v>
      </c>
      <c r="Z5" s="189">
        <f>VLOOKUP($A$5,$A$7:$CP$70,26,FALSE)</f>
        <v>21</v>
      </c>
      <c r="AA5" s="189">
        <f>VLOOKUP($A$5,$A$7:$CP$70,27,FALSE)</f>
        <v>4</v>
      </c>
      <c r="AB5" s="189">
        <f>VLOOKUP($A$5,$A$7:$CP$70,28,FALSE)</f>
        <v>0</v>
      </c>
      <c r="AC5" s="191">
        <f>VLOOKUP($A$5,$A$7:$CP$70,29,FALSE)</f>
        <v>42</v>
      </c>
      <c r="AD5" s="188">
        <f>VLOOKUP($A$5,$A$7:$CP$70,30,FALSE)</f>
        <v>375</v>
      </c>
      <c r="AE5" s="189">
        <f>VLOOKUP($A$5,$A$7:$CP$70,31,FALSE)</f>
        <v>8</v>
      </c>
      <c r="AF5" s="189">
        <f>VLOOKUP($A$5,$A$7:$CP$70,32,FALSE)</f>
        <v>28</v>
      </c>
      <c r="AG5" s="189">
        <f>VLOOKUP($A$5,$A$7:$CP$70,33,FALSE)</f>
        <v>3</v>
      </c>
      <c r="AH5" s="189">
        <f>VLOOKUP($A$5,$A$7:$CP$70,34,FALSE)</f>
        <v>0</v>
      </c>
      <c r="AI5" s="191">
        <f>VLOOKUP($A$5,$A$7:$CP$70,35,FALSE)</f>
        <v>39</v>
      </c>
      <c r="AJ5" s="178">
        <f>VLOOKUP($A$5,$A$7:$CP$70,36,FALSE)</f>
        <v>0.11637931034482758</v>
      </c>
      <c r="AK5" s="179">
        <f>VLOOKUP($A$5,$A$7:$CP$70,37,FALSE)</f>
        <v>0.60493827160493829</v>
      </c>
      <c r="AL5" s="179">
        <f>VLOOKUP($A$5,$A$7:$CP$70,38,FALSE)</f>
        <v>8.6419753086419748E-2</v>
      </c>
      <c r="AM5" s="179">
        <f>VLOOKUP($A$5,$A$7:$CP$70,39,FALSE)</f>
        <v>0</v>
      </c>
      <c r="AN5" s="182">
        <f>VLOOKUP($A$5,$A$7:$CP$70,40,FALSE)</f>
        <v>0.51851851851851849</v>
      </c>
      <c r="AO5" s="180">
        <f>VLOOKUP($A$5,$A$7:$CP$70,41,FALSE)</f>
        <v>0.48148148148148145</v>
      </c>
      <c r="AP5" s="192">
        <f>VLOOKUP($A$5,$A$7:$CP$70,42,FALSE)</f>
        <v>337</v>
      </c>
      <c r="AQ5" s="189">
        <f>VLOOKUP($A$5,$A$7:$CP$70,43,FALSE)</f>
        <v>99</v>
      </c>
      <c r="AR5" s="189">
        <f>VLOOKUP($A$5,$A$7:$CP$70,44,FALSE)</f>
        <v>0</v>
      </c>
      <c r="AS5" s="189">
        <f>VLOOKUP($A$5,$A$7:$CP$70,45,FALSE)</f>
        <v>0</v>
      </c>
      <c r="AT5" s="189">
        <f>VLOOKUP($A$5,$A$7:$CP$70,46,FALSE)</f>
        <v>27</v>
      </c>
      <c r="AU5" s="189">
        <f>VLOOKUP($A$5,$A$7:$CP$70,47,FALSE)</f>
        <v>37</v>
      </c>
      <c r="AV5" s="189">
        <f>VLOOKUP($A$5,$A$7:$CP$70,48,FALSE)</f>
        <v>1</v>
      </c>
      <c r="AW5" s="189">
        <f>VLOOKUP($A$5,$A$7:$CP$70,49,FALSE)</f>
        <v>3</v>
      </c>
      <c r="AX5" s="189">
        <f>VLOOKUP($A$5,$A$7:$CP$70,50,FALSE)</f>
        <v>10</v>
      </c>
      <c r="AY5" s="189">
        <f>VLOOKUP($A$5,$A$7:$CP$70,51,FALSE)</f>
        <v>38</v>
      </c>
      <c r="AZ5" s="189">
        <f>VLOOKUP($A$5,$A$7:$CP$70,52,FALSE)</f>
        <v>6</v>
      </c>
      <c r="BA5" s="189">
        <f>VLOOKUP($A$5,$A$7:$CP$70,53,FALSE)</f>
        <v>0</v>
      </c>
      <c r="BB5" s="189">
        <f>VLOOKUP($A$5,$A$7:$CP$70,54,FALSE)</f>
        <v>5</v>
      </c>
      <c r="BC5" s="189">
        <f>VLOOKUP($A$5,$A$7:$CP$70,55,FALSE)</f>
        <v>15</v>
      </c>
      <c r="BD5" s="189">
        <f>VLOOKUP($A$5,$A$7:$CP$70,56,FALSE)</f>
        <v>8</v>
      </c>
      <c r="BE5" s="189">
        <f>VLOOKUP($A$5,$A$7:$CP$70,57,FALSE)</f>
        <v>10</v>
      </c>
      <c r="BF5" s="189">
        <f>VLOOKUP($A$5,$A$7:$CP$70,58,FALSE)</f>
        <v>44</v>
      </c>
      <c r="BG5" s="189">
        <f>VLOOKUP($A$5,$A$7:$CP$70,59,FALSE)</f>
        <v>11</v>
      </c>
      <c r="BH5" s="189">
        <f>VLOOKUP($A$5,$A$7:$CP$70,60,FALSE)</f>
        <v>17</v>
      </c>
      <c r="BI5" s="189">
        <f>VLOOKUP($A$5,$A$7:$CP$70,61,FALSE)</f>
        <v>6</v>
      </c>
      <c r="BJ5" s="178">
        <f>VLOOKUP($A$5,$A$7:$CP$70,62,FALSE)</f>
        <v>0.29376854599406527</v>
      </c>
      <c r="BK5" s="179">
        <f>VLOOKUP($A$5,$A$7:$CP$70,63,FALSE)</f>
        <v>0</v>
      </c>
      <c r="BL5" s="179">
        <f>VLOOKUP($A$5,$A$7:$CP$70,64,FALSE)</f>
        <v>0</v>
      </c>
      <c r="BM5" s="179">
        <f>VLOOKUP($A$5,$A$7:$CP$70,65,FALSE)</f>
        <v>8.0118694362017809E-2</v>
      </c>
      <c r="BN5" s="179">
        <f>VLOOKUP($A$5,$A$7:$CP$70,66,FALSE)</f>
        <v>0.10979228486646884</v>
      </c>
      <c r="BO5" s="179">
        <f>VLOOKUP($A$5,$A$7:$CP$70,67,FALSE)</f>
        <v>2.967359050445104E-3</v>
      </c>
      <c r="BP5" s="179">
        <f>VLOOKUP($A$5,$A$7:$CP$70,68,FALSE)</f>
        <v>8.9020771513353119E-3</v>
      </c>
      <c r="BQ5" s="179">
        <f>VLOOKUP($A$5,$A$7:$CP$70,69,FALSE)</f>
        <v>2.967359050445104E-2</v>
      </c>
      <c r="BR5" s="179">
        <f>VLOOKUP($A$5,$A$7:$CP$70,70,FALSE)</f>
        <v>0.11275964391691394</v>
      </c>
      <c r="BS5" s="179">
        <f>VLOOKUP($A$5,$A$7:$CP$70,71,FALSE)</f>
        <v>1.7804154302670624E-2</v>
      </c>
      <c r="BT5" s="179">
        <f>VLOOKUP($A$5,$A$7:$CP$70,72,FALSE)</f>
        <v>0</v>
      </c>
      <c r="BU5" s="179">
        <f>VLOOKUP($A$5,$A$7:$CP$70,73,FALSE)</f>
        <v>1.483679525222552E-2</v>
      </c>
      <c r="BV5" s="179">
        <f>VLOOKUP($A$5,$A$7:$CP$70,74,FALSE)</f>
        <v>4.4510385756676561E-2</v>
      </c>
      <c r="BW5" s="179">
        <f>VLOOKUP($A$5,$A$7:$CP$70,75,FALSE)</f>
        <v>2.3738872403560832E-2</v>
      </c>
      <c r="BX5" s="179">
        <f>VLOOKUP($A$5,$A$7:$CP$70,76,FALSE)</f>
        <v>2.967359050445104E-2</v>
      </c>
      <c r="BY5" s="179">
        <f>VLOOKUP($A$5,$A$7:$CP$70,77,FALSE)</f>
        <v>0.13056379821958458</v>
      </c>
      <c r="BZ5" s="179">
        <f>VLOOKUP($A$5,$A$7:$CP$70,78,FALSE)</f>
        <v>3.2640949554896145E-2</v>
      </c>
      <c r="CA5" s="179">
        <f>VLOOKUP($A$5,$A$7:$CP$70,79,FALSE)</f>
        <v>5.0445103857566766E-2</v>
      </c>
      <c r="CB5" s="180">
        <f>VLOOKUP($A$5,$A$7:$CP$70,80,FALSE)</f>
        <v>1.7804154302670624E-2</v>
      </c>
      <c r="CC5" s="188">
        <f>VLOOKUP($A$5,$A$7:$CP$70,81,FALSE)</f>
        <v>337</v>
      </c>
      <c r="CD5" s="190">
        <f>VLOOKUP($A$5,$A$7:$CP$70,82,FALSE)</f>
        <v>216</v>
      </c>
      <c r="CE5" s="189">
        <f>VLOOKUP($A$5,$A$7:$CP$70,83,FALSE)</f>
        <v>117</v>
      </c>
      <c r="CF5" s="191">
        <f>VLOOKUP($A$5,$A$7:$CP$70,84,FALSE)</f>
        <v>0</v>
      </c>
      <c r="CG5" s="188">
        <f>VLOOKUP($A$5,$A$7:$CP$70,85,FALSE)</f>
        <v>17</v>
      </c>
      <c r="CH5" s="189">
        <f>VLOOKUP($A$5,$A$7:$CP$70,86,FALSE)</f>
        <v>3</v>
      </c>
      <c r="CI5" s="189">
        <f>VLOOKUP($A$5,$A$7:$CP$70,87,FALSE)</f>
        <v>13</v>
      </c>
      <c r="CJ5" s="191">
        <f>VLOOKUP($A$5,$A$7:$CP$70,88,FALSE)</f>
        <v>1</v>
      </c>
      <c r="CK5" s="178">
        <f>VLOOKUP($A$5,$A$7:$CP$70,89,FALSE)</f>
        <v>0.64094955489614247</v>
      </c>
      <c r="CL5" s="179">
        <f>VLOOKUP($A$5,$A$7:$CP$70,90,FALSE)</f>
        <v>0.34718100890207715</v>
      </c>
      <c r="CM5" s="180">
        <f>VLOOKUP($A$5,$A$7:$CP$70,91,FALSE)</f>
        <v>0</v>
      </c>
      <c r="CN5" s="178">
        <f>VLOOKUP($A$5,$A$7:$CP$70,92,FALSE)</f>
        <v>0.17647058823529413</v>
      </c>
      <c r="CO5" s="179">
        <f>VLOOKUP($A$5,$A$7:$CP$70,93,FALSE)</f>
        <v>0.76470588235294112</v>
      </c>
      <c r="CP5" s="180">
        <f>VLOOKUP($A$5,$A$7:$CP$70,94,FALSE)</f>
        <v>5.8823529411764705E-2</v>
      </c>
    </row>
    <row r="6" spans="1:94" s="241" customFormat="1" x14ac:dyDescent="0.15"/>
    <row r="7" spans="1:94" x14ac:dyDescent="0.15">
      <c r="A7" t="s">
        <v>429</v>
      </c>
      <c r="B7" t="s">
        <v>430</v>
      </c>
      <c r="C7" t="s">
        <v>431</v>
      </c>
      <c r="D7">
        <v>176</v>
      </c>
      <c r="E7">
        <v>116</v>
      </c>
      <c r="F7">
        <v>39</v>
      </c>
      <c r="G7">
        <v>33</v>
      </c>
      <c r="H7">
        <v>0.65909090909090906</v>
      </c>
      <c r="I7">
        <v>0.22159090909090909</v>
      </c>
      <c r="J7">
        <v>0.1875</v>
      </c>
      <c r="K7">
        <v>425</v>
      </c>
      <c r="L7">
        <v>45</v>
      </c>
      <c r="M7">
        <v>102</v>
      </c>
      <c r="N7">
        <v>266</v>
      </c>
      <c r="O7">
        <v>0.10588235294117647</v>
      </c>
      <c r="P7">
        <v>0.24</v>
      </c>
      <c r="Q7">
        <v>0.62588235294117645</v>
      </c>
      <c r="R7">
        <v>425</v>
      </c>
      <c r="S7">
        <v>35</v>
      </c>
      <c r="T7">
        <v>22</v>
      </c>
      <c r="U7">
        <v>5</v>
      </c>
      <c r="V7">
        <v>0</v>
      </c>
      <c r="W7">
        <v>62</v>
      </c>
      <c r="X7">
        <v>192</v>
      </c>
      <c r="Y7">
        <v>14</v>
      </c>
      <c r="Z7">
        <v>12</v>
      </c>
      <c r="AA7">
        <v>2</v>
      </c>
      <c r="AB7">
        <v>0</v>
      </c>
      <c r="AC7">
        <v>28</v>
      </c>
      <c r="AD7">
        <v>233</v>
      </c>
      <c r="AE7">
        <v>21</v>
      </c>
      <c r="AF7">
        <v>10</v>
      </c>
      <c r="AG7">
        <v>3</v>
      </c>
      <c r="AH7">
        <v>0</v>
      </c>
      <c r="AI7">
        <v>34</v>
      </c>
      <c r="AJ7">
        <v>0.14588235294117646</v>
      </c>
      <c r="AK7">
        <v>0.35483870967741937</v>
      </c>
      <c r="AL7">
        <v>8.0645161290322578E-2</v>
      </c>
      <c r="AM7">
        <v>0</v>
      </c>
      <c r="AN7">
        <v>0.45161290322580644</v>
      </c>
      <c r="AO7">
        <v>0.54838709677419351</v>
      </c>
      <c r="AP7">
        <v>220</v>
      </c>
      <c r="AQ7">
        <v>65</v>
      </c>
      <c r="AR7">
        <v>0</v>
      </c>
      <c r="AS7">
        <v>0</v>
      </c>
      <c r="AT7">
        <v>13</v>
      </c>
      <c r="AU7">
        <v>32</v>
      </c>
      <c r="AV7">
        <v>0</v>
      </c>
      <c r="AW7">
        <v>1</v>
      </c>
      <c r="AX7">
        <v>9</v>
      </c>
      <c r="AY7">
        <v>16</v>
      </c>
      <c r="AZ7">
        <v>4</v>
      </c>
      <c r="BA7">
        <v>3</v>
      </c>
      <c r="BB7">
        <v>3</v>
      </c>
      <c r="BC7">
        <v>2</v>
      </c>
      <c r="BD7">
        <v>5</v>
      </c>
      <c r="BE7">
        <v>3</v>
      </c>
      <c r="BF7">
        <v>35</v>
      </c>
      <c r="BG7">
        <v>6</v>
      </c>
      <c r="BH7">
        <v>17</v>
      </c>
      <c r="BI7">
        <v>2</v>
      </c>
      <c r="BJ7">
        <v>0.29545454545454547</v>
      </c>
      <c r="BK7">
        <v>0</v>
      </c>
      <c r="BL7">
        <v>0</v>
      </c>
      <c r="BM7">
        <v>5.909090909090909E-2</v>
      </c>
      <c r="BN7">
        <v>0.14545454545454545</v>
      </c>
      <c r="BO7">
        <v>0</v>
      </c>
      <c r="BP7">
        <v>4.5454545454545452E-3</v>
      </c>
      <c r="BQ7">
        <v>4.0909090909090909E-2</v>
      </c>
      <c r="BR7">
        <v>7.2727272727272724E-2</v>
      </c>
      <c r="BS7">
        <v>1.8181818181818181E-2</v>
      </c>
      <c r="BT7">
        <v>1.3636363636363636E-2</v>
      </c>
      <c r="BU7">
        <v>1.3636363636363636E-2</v>
      </c>
      <c r="BV7">
        <v>9.0909090909090905E-3</v>
      </c>
      <c r="BW7">
        <v>2.2727272727272728E-2</v>
      </c>
      <c r="BX7">
        <v>1.3636363636363636E-2</v>
      </c>
      <c r="BY7">
        <v>0.15909090909090909</v>
      </c>
      <c r="BZ7">
        <v>2.7272727272727271E-2</v>
      </c>
      <c r="CA7">
        <v>7.7272727272727271E-2</v>
      </c>
      <c r="CB7">
        <v>9.0909090909090905E-3</v>
      </c>
      <c r="CC7">
        <v>220</v>
      </c>
      <c r="CD7">
        <v>126</v>
      </c>
      <c r="CE7">
        <v>91</v>
      </c>
      <c r="CF7">
        <v>1</v>
      </c>
      <c r="CG7">
        <v>4</v>
      </c>
      <c r="CH7">
        <v>0</v>
      </c>
      <c r="CI7">
        <v>3</v>
      </c>
      <c r="CJ7">
        <v>0</v>
      </c>
      <c r="CK7">
        <v>0.57272727272727275</v>
      </c>
      <c r="CL7">
        <v>0.41363636363636364</v>
      </c>
      <c r="CM7">
        <v>4.5454545454545452E-3</v>
      </c>
      <c r="CN7">
        <v>0</v>
      </c>
      <c r="CO7">
        <v>0.75</v>
      </c>
      <c r="CP7">
        <v>0</v>
      </c>
    </row>
    <row r="8" spans="1:94" x14ac:dyDescent="0.15">
      <c r="A8" t="s">
        <v>432</v>
      </c>
      <c r="B8" t="s">
        <v>430</v>
      </c>
      <c r="C8" t="s">
        <v>433</v>
      </c>
      <c r="D8">
        <v>169</v>
      </c>
      <c r="E8">
        <v>114</v>
      </c>
      <c r="F8">
        <v>37</v>
      </c>
      <c r="G8">
        <v>41</v>
      </c>
      <c r="H8">
        <v>0.67455621301775148</v>
      </c>
      <c r="I8">
        <v>0.21893491124260356</v>
      </c>
      <c r="J8">
        <v>0.24260355029585798</v>
      </c>
      <c r="K8">
        <v>390</v>
      </c>
      <c r="L8">
        <v>52</v>
      </c>
      <c r="M8">
        <v>116</v>
      </c>
      <c r="N8">
        <v>222</v>
      </c>
      <c r="O8">
        <v>0.13333333333333333</v>
      </c>
      <c r="P8">
        <v>0.29743589743589743</v>
      </c>
      <c r="Q8">
        <v>0.56923076923076921</v>
      </c>
      <c r="R8">
        <v>390</v>
      </c>
      <c r="S8">
        <v>20</v>
      </c>
      <c r="T8">
        <v>28</v>
      </c>
      <c r="U8">
        <v>9</v>
      </c>
      <c r="V8">
        <v>2</v>
      </c>
      <c r="W8">
        <v>59</v>
      </c>
      <c r="X8">
        <v>197</v>
      </c>
      <c r="Y8">
        <v>12</v>
      </c>
      <c r="Z8">
        <v>16</v>
      </c>
      <c r="AA8">
        <v>4</v>
      </c>
      <c r="AB8">
        <v>1</v>
      </c>
      <c r="AC8">
        <v>33</v>
      </c>
      <c r="AD8">
        <v>193</v>
      </c>
      <c r="AE8">
        <v>8</v>
      </c>
      <c r="AF8">
        <v>12</v>
      </c>
      <c r="AG8">
        <v>5</v>
      </c>
      <c r="AH8">
        <v>1</v>
      </c>
      <c r="AI8">
        <v>26</v>
      </c>
      <c r="AJ8">
        <v>0.15128205128205127</v>
      </c>
      <c r="AK8">
        <v>0.47457627118644069</v>
      </c>
      <c r="AL8">
        <v>0.15254237288135594</v>
      </c>
      <c r="AM8">
        <v>3.3898305084745763E-2</v>
      </c>
      <c r="AN8">
        <v>0.55932203389830504</v>
      </c>
      <c r="AO8">
        <v>0.44067796610169491</v>
      </c>
      <c r="AP8">
        <v>211</v>
      </c>
      <c r="AQ8">
        <v>101</v>
      </c>
      <c r="AR8">
        <v>4</v>
      </c>
      <c r="AS8">
        <v>0</v>
      </c>
      <c r="AT8">
        <v>9</v>
      </c>
      <c r="AU8">
        <v>21</v>
      </c>
      <c r="AV8">
        <v>0</v>
      </c>
      <c r="AW8">
        <v>2</v>
      </c>
      <c r="AX8">
        <v>8</v>
      </c>
      <c r="AY8">
        <v>14</v>
      </c>
      <c r="AZ8">
        <v>1</v>
      </c>
      <c r="BA8">
        <v>1</v>
      </c>
      <c r="BB8">
        <v>2</v>
      </c>
      <c r="BC8">
        <v>5</v>
      </c>
      <c r="BD8">
        <v>0</v>
      </c>
      <c r="BE8">
        <v>5</v>
      </c>
      <c r="BF8">
        <v>18</v>
      </c>
      <c r="BG8">
        <v>2</v>
      </c>
      <c r="BH8">
        <v>9</v>
      </c>
      <c r="BI8">
        <v>8</v>
      </c>
      <c r="BJ8">
        <v>0.47867298578199052</v>
      </c>
      <c r="BK8">
        <v>1.8957345971563982E-2</v>
      </c>
      <c r="BL8">
        <v>0</v>
      </c>
      <c r="BM8">
        <v>4.2654028436018961E-2</v>
      </c>
      <c r="BN8">
        <v>9.9526066350710901E-2</v>
      </c>
      <c r="BO8">
        <v>0</v>
      </c>
      <c r="BP8">
        <v>9.4786729857819912E-3</v>
      </c>
      <c r="BQ8">
        <v>3.7914691943127965E-2</v>
      </c>
      <c r="BR8">
        <v>6.6350710900473939E-2</v>
      </c>
      <c r="BS8">
        <v>4.7393364928909956E-3</v>
      </c>
      <c r="BT8">
        <v>4.7393364928909956E-3</v>
      </c>
      <c r="BU8">
        <v>9.4786729857819912E-3</v>
      </c>
      <c r="BV8">
        <v>2.3696682464454975E-2</v>
      </c>
      <c r="BW8">
        <v>0</v>
      </c>
      <c r="BX8">
        <v>2.3696682464454975E-2</v>
      </c>
      <c r="BY8">
        <v>8.5308056872037921E-2</v>
      </c>
      <c r="BZ8">
        <v>9.4786729857819912E-3</v>
      </c>
      <c r="CA8">
        <v>4.2654028436018961E-2</v>
      </c>
      <c r="CB8">
        <v>3.7914691943127965E-2</v>
      </c>
      <c r="CC8">
        <v>211</v>
      </c>
      <c r="CD8">
        <v>155</v>
      </c>
      <c r="CE8">
        <v>54</v>
      </c>
      <c r="CF8">
        <v>2</v>
      </c>
      <c r="CG8">
        <v>17</v>
      </c>
      <c r="CH8">
        <v>1</v>
      </c>
      <c r="CI8">
        <v>16</v>
      </c>
      <c r="CJ8">
        <v>0</v>
      </c>
      <c r="CK8">
        <v>0.7345971563981043</v>
      </c>
      <c r="CL8">
        <v>0.25592417061611372</v>
      </c>
      <c r="CM8">
        <v>9.4786729857819912E-3</v>
      </c>
      <c r="CN8">
        <v>5.8823529411764705E-2</v>
      </c>
      <c r="CO8">
        <v>0.94117647058823528</v>
      </c>
      <c r="CP8">
        <v>0</v>
      </c>
    </row>
    <row r="9" spans="1:94" x14ac:dyDescent="0.15">
      <c r="A9" t="s">
        <v>434</v>
      </c>
      <c r="B9" t="s">
        <v>430</v>
      </c>
      <c r="C9" t="s">
        <v>435</v>
      </c>
      <c r="D9">
        <v>233</v>
      </c>
      <c r="E9">
        <v>157</v>
      </c>
      <c r="F9">
        <v>62</v>
      </c>
      <c r="G9">
        <v>48</v>
      </c>
      <c r="H9">
        <v>0.67381974248927035</v>
      </c>
      <c r="I9">
        <v>0.26609442060085836</v>
      </c>
      <c r="J9">
        <v>0.20600858369098712</v>
      </c>
      <c r="K9">
        <v>512</v>
      </c>
      <c r="L9">
        <v>86</v>
      </c>
      <c r="M9">
        <v>110</v>
      </c>
      <c r="N9">
        <v>316</v>
      </c>
      <c r="O9">
        <v>0.16796875</v>
      </c>
      <c r="P9">
        <v>0.21484375</v>
      </c>
      <c r="Q9">
        <v>0.6171875</v>
      </c>
      <c r="R9">
        <v>512</v>
      </c>
      <c r="S9">
        <v>36</v>
      </c>
      <c r="T9">
        <v>15</v>
      </c>
      <c r="U9">
        <v>13</v>
      </c>
      <c r="V9">
        <v>0</v>
      </c>
      <c r="W9">
        <v>64</v>
      </c>
      <c r="X9">
        <v>254</v>
      </c>
      <c r="Y9">
        <v>18</v>
      </c>
      <c r="Z9">
        <v>5</v>
      </c>
      <c r="AA9">
        <v>5</v>
      </c>
      <c r="AB9">
        <v>0</v>
      </c>
      <c r="AC9">
        <v>28</v>
      </c>
      <c r="AD9">
        <v>258</v>
      </c>
      <c r="AE9">
        <v>18</v>
      </c>
      <c r="AF9">
        <v>10</v>
      </c>
      <c r="AG9">
        <v>8</v>
      </c>
      <c r="AH9">
        <v>0</v>
      </c>
      <c r="AI9">
        <v>36</v>
      </c>
      <c r="AJ9">
        <v>0.125</v>
      </c>
      <c r="AK9">
        <v>0.234375</v>
      </c>
      <c r="AL9">
        <v>0.203125</v>
      </c>
      <c r="AM9">
        <v>0</v>
      </c>
      <c r="AN9">
        <v>0.4375</v>
      </c>
      <c r="AO9">
        <v>0.5625</v>
      </c>
      <c r="AP9">
        <v>287</v>
      </c>
      <c r="AQ9">
        <v>110</v>
      </c>
      <c r="AR9">
        <v>0</v>
      </c>
      <c r="AS9">
        <v>0</v>
      </c>
      <c r="AT9">
        <v>24</v>
      </c>
      <c r="AU9">
        <v>34</v>
      </c>
      <c r="AV9">
        <v>1</v>
      </c>
      <c r="AW9">
        <v>5</v>
      </c>
      <c r="AX9">
        <v>9</v>
      </c>
      <c r="AY9">
        <v>18</v>
      </c>
      <c r="AZ9">
        <v>2</v>
      </c>
      <c r="BA9">
        <v>2</v>
      </c>
      <c r="BB9">
        <v>2</v>
      </c>
      <c r="BC9">
        <v>12</v>
      </c>
      <c r="BD9">
        <v>7</v>
      </c>
      <c r="BE9">
        <v>7</v>
      </c>
      <c r="BF9">
        <v>29</v>
      </c>
      <c r="BG9">
        <v>6</v>
      </c>
      <c r="BH9">
        <v>13</v>
      </c>
      <c r="BI9">
        <v>6</v>
      </c>
      <c r="BJ9">
        <v>0.38327526132404183</v>
      </c>
      <c r="BK9">
        <v>0</v>
      </c>
      <c r="BL9">
        <v>0</v>
      </c>
      <c r="BM9">
        <v>8.3623693379790948E-2</v>
      </c>
      <c r="BN9">
        <v>0.11846689895470383</v>
      </c>
      <c r="BO9">
        <v>3.4843205574912892E-3</v>
      </c>
      <c r="BP9">
        <v>1.7421602787456445E-2</v>
      </c>
      <c r="BQ9">
        <v>3.1358885017421602E-2</v>
      </c>
      <c r="BR9">
        <v>6.2717770034843204E-2</v>
      </c>
      <c r="BS9">
        <v>6.9686411149825784E-3</v>
      </c>
      <c r="BT9">
        <v>6.9686411149825784E-3</v>
      </c>
      <c r="BU9">
        <v>6.9686411149825784E-3</v>
      </c>
      <c r="BV9">
        <v>4.1811846689895474E-2</v>
      </c>
      <c r="BW9">
        <v>2.4390243902439025E-2</v>
      </c>
      <c r="BX9">
        <v>2.4390243902439025E-2</v>
      </c>
      <c r="BY9">
        <v>0.10104529616724739</v>
      </c>
      <c r="BZ9">
        <v>2.0905923344947737E-2</v>
      </c>
      <c r="CA9">
        <v>4.5296167247386762E-2</v>
      </c>
      <c r="CB9">
        <v>2.0905923344947737E-2</v>
      </c>
      <c r="CC9">
        <v>287</v>
      </c>
      <c r="CD9">
        <v>204</v>
      </c>
      <c r="CE9">
        <v>83</v>
      </c>
      <c r="CF9">
        <v>0</v>
      </c>
      <c r="CG9">
        <v>7</v>
      </c>
      <c r="CH9">
        <v>1</v>
      </c>
      <c r="CI9">
        <v>6</v>
      </c>
      <c r="CJ9">
        <v>0</v>
      </c>
      <c r="CK9">
        <v>0.71080139372822304</v>
      </c>
      <c r="CL9">
        <v>0.28919860627177701</v>
      </c>
      <c r="CM9">
        <v>0</v>
      </c>
      <c r="CN9">
        <v>0.14285714285714285</v>
      </c>
      <c r="CO9">
        <v>0.8571428571428571</v>
      </c>
      <c r="CP9">
        <v>0</v>
      </c>
    </row>
    <row r="10" spans="1:94" x14ac:dyDescent="0.15">
      <c r="A10" t="s">
        <v>436</v>
      </c>
      <c r="B10" t="s">
        <v>430</v>
      </c>
      <c r="C10" t="s">
        <v>437</v>
      </c>
      <c r="D10">
        <v>302</v>
      </c>
      <c r="E10">
        <v>200</v>
      </c>
      <c r="F10">
        <v>58</v>
      </c>
      <c r="G10">
        <v>68</v>
      </c>
      <c r="H10">
        <v>0.66225165562913912</v>
      </c>
      <c r="I10">
        <v>0.19205298013245034</v>
      </c>
      <c r="J10">
        <v>0.2251655629139073</v>
      </c>
      <c r="K10">
        <v>696</v>
      </c>
      <c r="L10">
        <v>137</v>
      </c>
      <c r="M10">
        <v>152</v>
      </c>
      <c r="N10">
        <v>399</v>
      </c>
      <c r="O10">
        <v>0.19683908045977011</v>
      </c>
      <c r="P10">
        <v>0.21839080459770116</v>
      </c>
      <c r="Q10">
        <v>0.57327586206896552</v>
      </c>
      <c r="R10">
        <v>696</v>
      </c>
      <c r="S10">
        <v>25</v>
      </c>
      <c r="T10">
        <v>49</v>
      </c>
      <c r="U10">
        <v>7</v>
      </c>
      <c r="V10">
        <v>0</v>
      </c>
      <c r="W10">
        <v>81</v>
      </c>
      <c r="X10">
        <v>321</v>
      </c>
      <c r="Y10">
        <v>17</v>
      </c>
      <c r="Z10">
        <v>21</v>
      </c>
      <c r="AA10">
        <v>4</v>
      </c>
      <c r="AB10">
        <v>0</v>
      </c>
      <c r="AC10">
        <v>42</v>
      </c>
      <c r="AD10">
        <v>375</v>
      </c>
      <c r="AE10">
        <v>8</v>
      </c>
      <c r="AF10">
        <v>28</v>
      </c>
      <c r="AG10">
        <v>3</v>
      </c>
      <c r="AH10">
        <v>0</v>
      </c>
      <c r="AI10">
        <v>39</v>
      </c>
      <c r="AJ10">
        <v>0.11637931034482758</v>
      </c>
      <c r="AK10">
        <v>0.60493827160493829</v>
      </c>
      <c r="AL10">
        <v>8.6419753086419748E-2</v>
      </c>
      <c r="AM10">
        <v>0</v>
      </c>
      <c r="AN10">
        <v>0.51851851851851849</v>
      </c>
      <c r="AO10">
        <v>0.48148148148148145</v>
      </c>
      <c r="AP10">
        <v>337</v>
      </c>
      <c r="AQ10">
        <v>99</v>
      </c>
      <c r="AR10">
        <v>0</v>
      </c>
      <c r="AS10">
        <v>0</v>
      </c>
      <c r="AT10">
        <v>27</v>
      </c>
      <c r="AU10">
        <v>37</v>
      </c>
      <c r="AV10">
        <v>1</v>
      </c>
      <c r="AW10">
        <v>3</v>
      </c>
      <c r="AX10">
        <v>10</v>
      </c>
      <c r="AY10">
        <v>38</v>
      </c>
      <c r="AZ10">
        <v>6</v>
      </c>
      <c r="BA10">
        <v>0</v>
      </c>
      <c r="BB10">
        <v>5</v>
      </c>
      <c r="BC10">
        <v>15</v>
      </c>
      <c r="BD10">
        <v>8</v>
      </c>
      <c r="BE10">
        <v>10</v>
      </c>
      <c r="BF10">
        <v>44</v>
      </c>
      <c r="BG10">
        <v>11</v>
      </c>
      <c r="BH10">
        <v>17</v>
      </c>
      <c r="BI10">
        <v>6</v>
      </c>
      <c r="BJ10">
        <v>0.29376854599406527</v>
      </c>
      <c r="BK10">
        <v>0</v>
      </c>
      <c r="BL10">
        <v>0</v>
      </c>
      <c r="BM10">
        <v>8.0118694362017809E-2</v>
      </c>
      <c r="BN10">
        <v>0.10979228486646884</v>
      </c>
      <c r="BO10">
        <v>2.967359050445104E-3</v>
      </c>
      <c r="BP10">
        <v>8.9020771513353119E-3</v>
      </c>
      <c r="BQ10">
        <v>2.967359050445104E-2</v>
      </c>
      <c r="BR10">
        <v>0.11275964391691394</v>
      </c>
      <c r="BS10">
        <v>1.7804154302670624E-2</v>
      </c>
      <c r="BT10">
        <v>0</v>
      </c>
      <c r="BU10">
        <v>1.483679525222552E-2</v>
      </c>
      <c r="BV10">
        <v>4.4510385756676561E-2</v>
      </c>
      <c r="BW10">
        <v>2.3738872403560832E-2</v>
      </c>
      <c r="BX10">
        <v>2.967359050445104E-2</v>
      </c>
      <c r="BY10">
        <v>0.13056379821958458</v>
      </c>
      <c r="BZ10">
        <v>3.2640949554896145E-2</v>
      </c>
      <c r="CA10">
        <v>5.0445103857566766E-2</v>
      </c>
      <c r="CB10">
        <v>1.7804154302670624E-2</v>
      </c>
      <c r="CC10">
        <v>337</v>
      </c>
      <c r="CD10">
        <v>216</v>
      </c>
      <c r="CE10">
        <v>117</v>
      </c>
      <c r="CF10">
        <v>0</v>
      </c>
      <c r="CG10">
        <v>17</v>
      </c>
      <c r="CH10">
        <v>3</v>
      </c>
      <c r="CI10">
        <v>13</v>
      </c>
      <c r="CJ10">
        <v>1</v>
      </c>
      <c r="CK10">
        <v>0.64094955489614247</v>
      </c>
      <c r="CL10">
        <v>0.34718100890207715</v>
      </c>
      <c r="CM10">
        <v>0</v>
      </c>
      <c r="CN10">
        <v>0.17647058823529413</v>
      </c>
      <c r="CO10">
        <v>0.76470588235294112</v>
      </c>
      <c r="CP10">
        <v>5.8823529411764705E-2</v>
      </c>
    </row>
    <row r="11" spans="1:94" x14ac:dyDescent="0.15">
      <c r="A11" t="s">
        <v>438</v>
      </c>
      <c r="B11" t="s">
        <v>430</v>
      </c>
      <c r="C11" t="s">
        <v>439</v>
      </c>
      <c r="D11">
        <v>292</v>
      </c>
      <c r="E11">
        <v>155</v>
      </c>
      <c r="F11">
        <v>54</v>
      </c>
      <c r="G11">
        <v>47</v>
      </c>
      <c r="H11">
        <v>0.53082191780821919</v>
      </c>
      <c r="I11">
        <v>0.18493150684931506</v>
      </c>
      <c r="J11">
        <v>0.16095890410958905</v>
      </c>
      <c r="K11">
        <v>701</v>
      </c>
      <c r="L11">
        <v>87</v>
      </c>
      <c r="M11">
        <v>285</v>
      </c>
      <c r="N11">
        <v>323</v>
      </c>
      <c r="O11">
        <v>0.12410841654778887</v>
      </c>
      <c r="P11">
        <v>0.4065620542082739</v>
      </c>
      <c r="Q11">
        <v>0.4607703281027104</v>
      </c>
      <c r="R11">
        <v>701</v>
      </c>
      <c r="S11">
        <v>84</v>
      </c>
      <c r="T11">
        <v>47</v>
      </c>
      <c r="U11">
        <v>18</v>
      </c>
      <c r="V11">
        <v>8</v>
      </c>
      <c r="W11">
        <v>157</v>
      </c>
      <c r="X11">
        <v>323</v>
      </c>
      <c r="Y11">
        <v>36</v>
      </c>
      <c r="Z11">
        <v>25</v>
      </c>
      <c r="AA11">
        <v>10</v>
      </c>
      <c r="AB11">
        <v>6</v>
      </c>
      <c r="AC11">
        <v>77</v>
      </c>
      <c r="AD11">
        <v>378</v>
      </c>
      <c r="AE11">
        <v>48</v>
      </c>
      <c r="AF11">
        <v>22</v>
      </c>
      <c r="AG11">
        <v>8</v>
      </c>
      <c r="AH11">
        <v>2</v>
      </c>
      <c r="AI11">
        <v>80</v>
      </c>
      <c r="AJ11">
        <v>0.2239657631954351</v>
      </c>
      <c r="AK11">
        <v>0.29936305732484075</v>
      </c>
      <c r="AL11">
        <v>0.11464968152866242</v>
      </c>
      <c r="AM11">
        <v>5.0955414012738856E-2</v>
      </c>
      <c r="AN11">
        <v>0.49044585987261147</v>
      </c>
      <c r="AO11">
        <v>0.50955414012738853</v>
      </c>
      <c r="AP11">
        <v>324</v>
      </c>
      <c r="AQ11">
        <v>50</v>
      </c>
      <c r="AR11">
        <v>0</v>
      </c>
      <c r="AS11">
        <v>0</v>
      </c>
      <c r="AT11">
        <v>33</v>
      </c>
      <c r="AU11">
        <v>42</v>
      </c>
      <c r="AV11">
        <v>0</v>
      </c>
      <c r="AW11">
        <v>2</v>
      </c>
      <c r="AX11">
        <v>7</v>
      </c>
      <c r="AY11">
        <v>31</v>
      </c>
      <c r="AZ11">
        <v>3</v>
      </c>
      <c r="BA11">
        <v>3</v>
      </c>
      <c r="BB11">
        <v>6</v>
      </c>
      <c r="BC11">
        <v>15</v>
      </c>
      <c r="BD11">
        <v>15</v>
      </c>
      <c r="BE11">
        <v>14</v>
      </c>
      <c r="BF11">
        <v>59</v>
      </c>
      <c r="BG11">
        <v>7</v>
      </c>
      <c r="BH11">
        <v>17</v>
      </c>
      <c r="BI11">
        <v>18</v>
      </c>
      <c r="BJ11">
        <v>0.15432098765432098</v>
      </c>
      <c r="BK11">
        <v>0</v>
      </c>
      <c r="BL11">
        <v>0</v>
      </c>
      <c r="BM11">
        <v>0.10185185185185185</v>
      </c>
      <c r="BN11">
        <v>0.12962962962962962</v>
      </c>
      <c r="BO11">
        <v>0</v>
      </c>
      <c r="BP11">
        <v>6.1728395061728392E-3</v>
      </c>
      <c r="BQ11">
        <v>2.1604938271604937E-2</v>
      </c>
      <c r="BR11">
        <v>9.5679012345679007E-2</v>
      </c>
      <c r="BS11">
        <v>9.2592592592592587E-3</v>
      </c>
      <c r="BT11">
        <v>9.2592592592592587E-3</v>
      </c>
      <c r="BU11">
        <v>1.8518518518518517E-2</v>
      </c>
      <c r="BV11">
        <v>4.6296296296296294E-2</v>
      </c>
      <c r="BW11">
        <v>4.6296296296296294E-2</v>
      </c>
      <c r="BX11">
        <v>4.3209876543209874E-2</v>
      </c>
      <c r="BY11">
        <v>0.18209876543209877</v>
      </c>
      <c r="BZ11">
        <v>2.1604938271604937E-2</v>
      </c>
      <c r="CA11">
        <v>5.2469135802469133E-2</v>
      </c>
      <c r="CB11">
        <v>5.5555555555555552E-2</v>
      </c>
      <c r="CC11">
        <v>324</v>
      </c>
      <c r="CD11">
        <v>195</v>
      </c>
      <c r="CE11">
        <v>126</v>
      </c>
      <c r="CF11">
        <v>2</v>
      </c>
      <c r="CG11">
        <v>30</v>
      </c>
      <c r="CH11">
        <v>7</v>
      </c>
      <c r="CI11">
        <v>22</v>
      </c>
      <c r="CJ11">
        <v>1</v>
      </c>
      <c r="CK11">
        <v>0.60185185185185186</v>
      </c>
      <c r="CL11">
        <v>0.3888888888888889</v>
      </c>
      <c r="CM11">
        <v>6.1728395061728392E-3</v>
      </c>
      <c r="CN11">
        <v>0.23333333333333334</v>
      </c>
      <c r="CO11">
        <v>0.73333333333333328</v>
      </c>
      <c r="CP11">
        <v>3.3333333333333333E-2</v>
      </c>
    </row>
    <row r="12" spans="1:94" x14ac:dyDescent="0.15">
      <c r="A12" t="s">
        <v>440</v>
      </c>
      <c r="B12" t="s">
        <v>430</v>
      </c>
      <c r="C12" t="s">
        <v>441</v>
      </c>
      <c r="D12">
        <v>313</v>
      </c>
      <c r="E12">
        <v>180</v>
      </c>
      <c r="F12">
        <v>66</v>
      </c>
      <c r="G12">
        <v>55</v>
      </c>
      <c r="H12">
        <v>0.57507987220447288</v>
      </c>
      <c r="I12">
        <v>0.2108626198083067</v>
      </c>
      <c r="J12">
        <v>0.1757188498402556</v>
      </c>
      <c r="K12">
        <v>752</v>
      </c>
      <c r="L12">
        <v>102</v>
      </c>
      <c r="M12">
        <v>238</v>
      </c>
      <c r="N12">
        <v>408</v>
      </c>
      <c r="O12">
        <v>0.13563829787234041</v>
      </c>
      <c r="P12">
        <v>0.31648936170212766</v>
      </c>
      <c r="Q12">
        <v>0.54255319148936165</v>
      </c>
      <c r="R12">
        <v>752</v>
      </c>
      <c r="S12">
        <v>59</v>
      </c>
      <c r="T12">
        <v>43</v>
      </c>
      <c r="U12">
        <v>22</v>
      </c>
      <c r="V12">
        <v>0</v>
      </c>
      <c r="W12">
        <v>124</v>
      </c>
      <c r="X12">
        <v>355</v>
      </c>
      <c r="Y12">
        <v>26</v>
      </c>
      <c r="Z12">
        <v>22</v>
      </c>
      <c r="AA12">
        <v>13</v>
      </c>
      <c r="AB12">
        <v>0</v>
      </c>
      <c r="AC12">
        <v>61</v>
      </c>
      <c r="AD12">
        <v>397</v>
      </c>
      <c r="AE12">
        <v>33</v>
      </c>
      <c r="AF12">
        <v>21</v>
      </c>
      <c r="AG12">
        <v>9</v>
      </c>
      <c r="AH12">
        <v>0</v>
      </c>
      <c r="AI12">
        <v>63</v>
      </c>
      <c r="AJ12">
        <v>0.16489361702127658</v>
      </c>
      <c r="AK12">
        <v>0.34677419354838712</v>
      </c>
      <c r="AL12">
        <v>0.17741935483870969</v>
      </c>
      <c r="AM12">
        <v>0</v>
      </c>
      <c r="AN12">
        <v>0.49193548387096775</v>
      </c>
      <c r="AO12">
        <v>0.50806451612903225</v>
      </c>
      <c r="AP12">
        <v>390</v>
      </c>
      <c r="AQ12">
        <v>86</v>
      </c>
      <c r="AR12">
        <v>0</v>
      </c>
      <c r="AS12">
        <v>0</v>
      </c>
      <c r="AT12">
        <v>38</v>
      </c>
      <c r="AU12">
        <v>54</v>
      </c>
      <c r="AV12">
        <v>0</v>
      </c>
      <c r="AW12">
        <v>4</v>
      </c>
      <c r="AX12">
        <v>11</v>
      </c>
      <c r="AY12">
        <v>39</v>
      </c>
      <c r="AZ12">
        <v>3</v>
      </c>
      <c r="BA12">
        <v>5</v>
      </c>
      <c r="BB12">
        <v>5</v>
      </c>
      <c r="BC12">
        <v>15</v>
      </c>
      <c r="BD12">
        <v>8</v>
      </c>
      <c r="BE12">
        <v>14</v>
      </c>
      <c r="BF12">
        <v>58</v>
      </c>
      <c r="BG12">
        <v>14</v>
      </c>
      <c r="BH12">
        <v>25</v>
      </c>
      <c r="BI12">
        <v>11</v>
      </c>
      <c r="BJ12">
        <v>0.22051282051282051</v>
      </c>
      <c r="BK12">
        <v>0</v>
      </c>
      <c r="BL12">
        <v>0</v>
      </c>
      <c r="BM12">
        <v>9.7435897435897437E-2</v>
      </c>
      <c r="BN12">
        <v>0.13846153846153847</v>
      </c>
      <c r="BO12">
        <v>0</v>
      </c>
      <c r="BP12">
        <v>1.0256410256410256E-2</v>
      </c>
      <c r="BQ12">
        <v>2.8205128205128206E-2</v>
      </c>
      <c r="BR12">
        <v>0.1</v>
      </c>
      <c r="BS12">
        <v>7.6923076923076927E-3</v>
      </c>
      <c r="BT12">
        <v>1.282051282051282E-2</v>
      </c>
      <c r="BU12">
        <v>1.282051282051282E-2</v>
      </c>
      <c r="BV12">
        <v>3.8461538461538464E-2</v>
      </c>
      <c r="BW12">
        <v>2.0512820512820513E-2</v>
      </c>
      <c r="BX12">
        <v>3.5897435897435895E-2</v>
      </c>
      <c r="BY12">
        <v>0.14871794871794872</v>
      </c>
      <c r="BZ12">
        <v>3.5897435897435895E-2</v>
      </c>
      <c r="CA12">
        <v>6.4102564102564097E-2</v>
      </c>
      <c r="CB12">
        <v>2.8205128205128206E-2</v>
      </c>
      <c r="CC12">
        <v>390</v>
      </c>
      <c r="CD12">
        <v>222</v>
      </c>
      <c r="CE12">
        <v>165</v>
      </c>
      <c r="CF12">
        <v>1</v>
      </c>
      <c r="CG12">
        <v>26</v>
      </c>
      <c r="CH12">
        <v>3</v>
      </c>
      <c r="CI12">
        <v>20</v>
      </c>
      <c r="CJ12">
        <v>2</v>
      </c>
      <c r="CK12">
        <v>0.56923076923076921</v>
      </c>
      <c r="CL12">
        <v>0.42307692307692307</v>
      </c>
      <c r="CM12">
        <v>2.5641025641025641E-3</v>
      </c>
      <c r="CN12">
        <v>0.11538461538461539</v>
      </c>
      <c r="CO12">
        <v>0.76923076923076927</v>
      </c>
      <c r="CP12">
        <v>7.6923076923076927E-2</v>
      </c>
    </row>
    <row r="13" spans="1:94" x14ac:dyDescent="0.15">
      <c r="A13" t="s">
        <v>442</v>
      </c>
      <c r="B13" t="s">
        <v>430</v>
      </c>
      <c r="C13" t="s">
        <v>443</v>
      </c>
      <c r="D13">
        <v>177</v>
      </c>
      <c r="E13">
        <v>84</v>
      </c>
      <c r="F13">
        <v>35</v>
      </c>
      <c r="G13">
        <v>16</v>
      </c>
      <c r="H13">
        <v>0.47457627118644069</v>
      </c>
      <c r="I13">
        <v>0.19774011299435029</v>
      </c>
      <c r="J13">
        <v>9.03954802259887E-2</v>
      </c>
      <c r="K13">
        <v>452</v>
      </c>
      <c r="L13">
        <v>75</v>
      </c>
      <c r="M13">
        <v>136</v>
      </c>
      <c r="N13">
        <v>241</v>
      </c>
      <c r="O13">
        <v>0.16592920353982302</v>
      </c>
      <c r="P13">
        <v>0.30088495575221241</v>
      </c>
      <c r="Q13">
        <v>0.5331858407079646</v>
      </c>
      <c r="R13">
        <v>452</v>
      </c>
      <c r="S13">
        <v>23</v>
      </c>
      <c r="T13">
        <v>37</v>
      </c>
      <c r="U13">
        <v>9</v>
      </c>
      <c r="V13">
        <v>0</v>
      </c>
      <c r="W13">
        <v>69</v>
      </c>
      <c r="X13">
        <v>228</v>
      </c>
      <c r="Y13">
        <v>14</v>
      </c>
      <c r="Z13">
        <v>18</v>
      </c>
      <c r="AA13">
        <v>6</v>
      </c>
      <c r="AB13">
        <v>0</v>
      </c>
      <c r="AC13">
        <v>38</v>
      </c>
      <c r="AD13">
        <v>224</v>
      </c>
      <c r="AE13">
        <v>9</v>
      </c>
      <c r="AF13">
        <v>19</v>
      </c>
      <c r="AG13">
        <v>3</v>
      </c>
      <c r="AH13">
        <v>0</v>
      </c>
      <c r="AI13">
        <v>31</v>
      </c>
      <c r="AJ13">
        <v>0.15265486725663716</v>
      </c>
      <c r="AK13">
        <v>0.53623188405797106</v>
      </c>
      <c r="AL13">
        <v>0.13043478260869565</v>
      </c>
      <c r="AM13">
        <v>0</v>
      </c>
      <c r="AN13">
        <v>0.55072463768115942</v>
      </c>
      <c r="AO13">
        <v>0.44927536231884058</v>
      </c>
      <c r="AP13">
        <v>242</v>
      </c>
      <c r="AQ13">
        <v>61</v>
      </c>
      <c r="AR13">
        <v>0</v>
      </c>
      <c r="AS13">
        <v>0</v>
      </c>
      <c r="AT13">
        <v>28</v>
      </c>
      <c r="AU13">
        <v>28</v>
      </c>
      <c r="AV13">
        <v>3</v>
      </c>
      <c r="AW13">
        <v>0</v>
      </c>
      <c r="AX13">
        <v>15</v>
      </c>
      <c r="AY13">
        <v>13</v>
      </c>
      <c r="AZ13">
        <v>3</v>
      </c>
      <c r="BA13">
        <v>0</v>
      </c>
      <c r="BB13">
        <v>2</v>
      </c>
      <c r="BC13">
        <v>4</v>
      </c>
      <c r="BD13">
        <v>7</v>
      </c>
      <c r="BE13">
        <v>6</v>
      </c>
      <c r="BF13">
        <v>39</v>
      </c>
      <c r="BG13">
        <v>3</v>
      </c>
      <c r="BH13">
        <v>13</v>
      </c>
      <c r="BI13">
        <v>15</v>
      </c>
      <c r="BJ13">
        <v>0.25206611570247933</v>
      </c>
      <c r="BK13">
        <v>0</v>
      </c>
      <c r="BL13">
        <v>0</v>
      </c>
      <c r="BM13">
        <v>0.11570247933884298</v>
      </c>
      <c r="BN13">
        <v>0.11570247933884298</v>
      </c>
      <c r="BO13">
        <v>1.2396694214876033E-2</v>
      </c>
      <c r="BP13">
        <v>0</v>
      </c>
      <c r="BQ13">
        <v>6.1983471074380167E-2</v>
      </c>
      <c r="BR13">
        <v>5.3719008264462811E-2</v>
      </c>
      <c r="BS13">
        <v>1.2396694214876033E-2</v>
      </c>
      <c r="BT13">
        <v>0</v>
      </c>
      <c r="BU13">
        <v>8.2644628099173556E-3</v>
      </c>
      <c r="BV13">
        <v>1.6528925619834711E-2</v>
      </c>
      <c r="BW13">
        <v>2.8925619834710745E-2</v>
      </c>
      <c r="BX13">
        <v>2.4793388429752067E-2</v>
      </c>
      <c r="BY13">
        <v>0.16115702479338842</v>
      </c>
      <c r="BZ13">
        <v>1.2396694214876033E-2</v>
      </c>
      <c r="CA13">
        <v>5.3719008264462811E-2</v>
      </c>
      <c r="CB13">
        <v>6.1983471074380167E-2</v>
      </c>
      <c r="CC13">
        <v>242</v>
      </c>
      <c r="CD13">
        <v>141</v>
      </c>
      <c r="CE13">
        <v>98</v>
      </c>
      <c r="CF13">
        <v>1</v>
      </c>
      <c r="CG13">
        <v>21</v>
      </c>
      <c r="CH13">
        <v>7</v>
      </c>
      <c r="CI13">
        <v>14</v>
      </c>
      <c r="CJ13">
        <v>0</v>
      </c>
      <c r="CK13">
        <v>0.5826446280991735</v>
      </c>
      <c r="CL13">
        <v>0.4049586776859504</v>
      </c>
      <c r="CM13">
        <v>4.1322314049586778E-3</v>
      </c>
      <c r="CN13">
        <v>0.33333333333333331</v>
      </c>
      <c r="CO13">
        <v>0.66666666666666663</v>
      </c>
      <c r="CP13">
        <v>0</v>
      </c>
    </row>
    <row r="14" spans="1:94" x14ac:dyDescent="0.15">
      <c r="A14" t="s">
        <v>444</v>
      </c>
      <c r="B14" t="s">
        <v>430</v>
      </c>
      <c r="C14" t="s">
        <v>445</v>
      </c>
      <c r="D14">
        <v>362</v>
      </c>
      <c r="E14">
        <v>128</v>
      </c>
      <c r="F14">
        <v>54</v>
      </c>
      <c r="G14">
        <v>35</v>
      </c>
      <c r="H14">
        <v>0.35359116022099446</v>
      </c>
      <c r="I14">
        <v>0.14917127071823205</v>
      </c>
      <c r="J14">
        <v>9.668508287292818E-2</v>
      </c>
      <c r="K14">
        <v>912</v>
      </c>
      <c r="L14">
        <v>129</v>
      </c>
      <c r="M14">
        <v>376</v>
      </c>
      <c r="N14">
        <v>394</v>
      </c>
      <c r="O14">
        <v>0.14144736842105263</v>
      </c>
      <c r="P14">
        <v>0.41228070175438597</v>
      </c>
      <c r="Q14">
        <v>0.43201754385964913</v>
      </c>
      <c r="R14">
        <v>912</v>
      </c>
      <c r="S14">
        <v>87</v>
      </c>
      <c r="T14">
        <v>102</v>
      </c>
      <c r="U14">
        <v>40</v>
      </c>
      <c r="V14">
        <v>0</v>
      </c>
      <c r="W14">
        <v>229</v>
      </c>
      <c r="X14">
        <v>424</v>
      </c>
      <c r="Y14">
        <v>41</v>
      </c>
      <c r="Z14">
        <v>47</v>
      </c>
      <c r="AA14">
        <v>21</v>
      </c>
      <c r="AB14">
        <v>0</v>
      </c>
      <c r="AC14">
        <v>109</v>
      </c>
      <c r="AD14">
        <v>488</v>
      </c>
      <c r="AE14">
        <v>46</v>
      </c>
      <c r="AF14">
        <v>55</v>
      </c>
      <c r="AG14">
        <v>19</v>
      </c>
      <c r="AH14">
        <v>0</v>
      </c>
      <c r="AI14">
        <v>120</v>
      </c>
      <c r="AJ14">
        <v>0.25109649122807015</v>
      </c>
      <c r="AK14">
        <v>0.44541484716157204</v>
      </c>
      <c r="AL14">
        <v>0.17467248908296942</v>
      </c>
      <c r="AM14">
        <v>0</v>
      </c>
      <c r="AN14">
        <v>0.4759825327510917</v>
      </c>
      <c r="AO14">
        <v>0.5240174672489083</v>
      </c>
      <c r="AP14">
        <v>461</v>
      </c>
      <c r="AQ14">
        <v>57</v>
      </c>
      <c r="AR14">
        <v>0</v>
      </c>
      <c r="AS14">
        <v>1</v>
      </c>
      <c r="AT14">
        <v>33</v>
      </c>
      <c r="AU14">
        <v>76</v>
      </c>
      <c r="AV14">
        <v>0</v>
      </c>
      <c r="AW14">
        <v>6</v>
      </c>
      <c r="AX14">
        <v>17</v>
      </c>
      <c r="AY14">
        <v>66</v>
      </c>
      <c r="AZ14">
        <v>12</v>
      </c>
      <c r="BA14">
        <v>4</v>
      </c>
      <c r="BB14">
        <v>6</v>
      </c>
      <c r="BC14">
        <v>20</v>
      </c>
      <c r="BD14">
        <v>8</v>
      </c>
      <c r="BE14">
        <v>21</v>
      </c>
      <c r="BF14">
        <v>74</v>
      </c>
      <c r="BG14">
        <v>9</v>
      </c>
      <c r="BH14">
        <v>32</v>
      </c>
      <c r="BI14">
        <v>16</v>
      </c>
      <c r="BJ14">
        <v>0.12364425162689804</v>
      </c>
      <c r="BK14">
        <v>0</v>
      </c>
      <c r="BL14">
        <v>2.1691973969631237E-3</v>
      </c>
      <c r="BM14">
        <v>7.1583514099783085E-2</v>
      </c>
      <c r="BN14">
        <v>0.16485900216919741</v>
      </c>
      <c r="BO14">
        <v>0</v>
      </c>
      <c r="BP14">
        <v>1.3015184381778741E-2</v>
      </c>
      <c r="BQ14">
        <v>3.6876355748373099E-2</v>
      </c>
      <c r="BR14">
        <v>0.14316702819956617</v>
      </c>
      <c r="BS14">
        <v>2.6030368763557483E-2</v>
      </c>
      <c r="BT14">
        <v>8.6767895878524948E-3</v>
      </c>
      <c r="BU14">
        <v>1.3015184381778741E-2</v>
      </c>
      <c r="BV14">
        <v>4.3383947939262472E-2</v>
      </c>
      <c r="BW14">
        <v>1.735357917570499E-2</v>
      </c>
      <c r="BX14">
        <v>4.5553145336225599E-2</v>
      </c>
      <c r="BY14">
        <v>0.16052060737527116</v>
      </c>
      <c r="BZ14">
        <v>1.9522776572668113E-2</v>
      </c>
      <c r="CA14">
        <v>6.9414316702819959E-2</v>
      </c>
      <c r="CB14">
        <v>3.4707158351409979E-2</v>
      </c>
      <c r="CC14">
        <v>461</v>
      </c>
      <c r="CD14">
        <v>248</v>
      </c>
      <c r="CE14">
        <v>206</v>
      </c>
      <c r="CF14">
        <v>5</v>
      </c>
      <c r="CG14">
        <v>40</v>
      </c>
      <c r="CH14">
        <v>8</v>
      </c>
      <c r="CI14">
        <v>32</v>
      </c>
      <c r="CJ14">
        <v>0</v>
      </c>
      <c r="CK14">
        <v>0.53796095444685466</v>
      </c>
      <c r="CL14">
        <v>0.44685466377440347</v>
      </c>
      <c r="CM14">
        <v>1.0845986984815618E-2</v>
      </c>
      <c r="CN14">
        <v>0.2</v>
      </c>
      <c r="CO14">
        <v>0.8</v>
      </c>
      <c r="CP14">
        <v>0</v>
      </c>
    </row>
    <row r="15" spans="1:94" x14ac:dyDescent="0.15">
      <c r="A15" t="s">
        <v>446</v>
      </c>
      <c r="B15" t="s">
        <v>430</v>
      </c>
      <c r="C15" t="s">
        <v>447</v>
      </c>
      <c r="D15">
        <v>198</v>
      </c>
      <c r="E15">
        <v>102</v>
      </c>
      <c r="F15">
        <v>38</v>
      </c>
      <c r="G15">
        <v>28</v>
      </c>
      <c r="H15">
        <v>0.51515151515151514</v>
      </c>
      <c r="I15">
        <v>0.19191919191919191</v>
      </c>
      <c r="J15">
        <v>0.14141414141414141</v>
      </c>
      <c r="K15">
        <v>484</v>
      </c>
      <c r="L15">
        <v>63</v>
      </c>
      <c r="M15">
        <v>180</v>
      </c>
      <c r="N15">
        <v>213</v>
      </c>
      <c r="O15">
        <v>0.13016528925619836</v>
      </c>
      <c r="P15">
        <v>0.37190082644628097</v>
      </c>
      <c r="Q15">
        <v>0.44008264462809915</v>
      </c>
      <c r="R15">
        <v>484</v>
      </c>
      <c r="S15">
        <v>76</v>
      </c>
      <c r="T15">
        <v>21</v>
      </c>
      <c r="U15">
        <v>22</v>
      </c>
      <c r="V15">
        <v>0</v>
      </c>
      <c r="W15">
        <v>119</v>
      </c>
      <c r="X15">
        <v>223</v>
      </c>
      <c r="Y15">
        <v>30</v>
      </c>
      <c r="Z15">
        <v>9</v>
      </c>
      <c r="AA15">
        <v>11</v>
      </c>
      <c r="AB15">
        <v>0</v>
      </c>
      <c r="AC15">
        <v>50</v>
      </c>
      <c r="AD15">
        <v>261</v>
      </c>
      <c r="AE15">
        <v>46</v>
      </c>
      <c r="AF15">
        <v>12</v>
      </c>
      <c r="AG15">
        <v>11</v>
      </c>
      <c r="AH15">
        <v>0</v>
      </c>
      <c r="AI15">
        <v>69</v>
      </c>
      <c r="AJ15">
        <v>0.24586776859504134</v>
      </c>
      <c r="AK15">
        <v>0.17647058823529413</v>
      </c>
      <c r="AL15">
        <v>0.18487394957983194</v>
      </c>
      <c r="AM15">
        <v>0</v>
      </c>
      <c r="AN15">
        <v>0.42016806722689076</v>
      </c>
      <c r="AO15">
        <v>0.57983193277310929</v>
      </c>
      <c r="AP15">
        <v>238</v>
      </c>
      <c r="AQ15">
        <v>29</v>
      </c>
      <c r="AR15">
        <v>0</v>
      </c>
      <c r="AS15">
        <v>0</v>
      </c>
      <c r="AT15">
        <v>18</v>
      </c>
      <c r="AU15">
        <v>43</v>
      </c>
      <c r="AV15">
        <v>0</v>
      </c>
      <c r="AW15">
        <v>0</v>
      </c>
      <c r="AX15">
        <v>5</v>
      </c>
      <c r="AY15">
        <v>35</v>
      </c>
      <c r="AZ15">
        <v>0</v>
      </c>
      <c r="BA15">
        <v>5</v>
      </c>
      <c r="BB15">
        <v>0</v>
      </c>
      <c r="BC15">
        <v>12</v>
      </c>
      <c r="BD15">
        <v>3</v>
      </c>
      <c r="BE15">
        <v>11</v>
      </c>
      <c r="BF15">
        <v>42</v>
      </c>
      <c r="BG15">
        <v>7</v>
      </c>
      <c r="BH15">
        <v>12</v>
      </c>
      <c r="BI15">
        <v>10</v>
      </c>
      <c r="BJ15">
        <v>0.12184873949579832</v>
      </c>
      <c r="BK15">
        <v>0</v>
      </c>
      <c r="BL15">
        <v>0</v>
      </c>
      <c r="BM15">
        <v>7.5630252100840331E-2</v>
      </c>
      <c r="BN15">
        <v>0.18067226890756302</v>
      </c>
      <c r="BO15">
        <v>0</v>
      </c>
      <c r="BP15">
        <v>0</v>
      </c>
      <c r="BQ15">
        <v>2.100840336134454E-2</v>
      </c>
      <c r="BR15">
        <v>0.14705882352941177</v>
      </c>
      <c r="BS15">
        <v>0</v>
      </c>
      <c r="BT15">
        <v>2.100840336134454E-2</v>
      </c>
      <c r="BU15">
        <v>0</v>
      </c>
      <c r="BV15">
        <v>5.0420168067226892E-2</v>
      </c>
      <c r="BW15">
        <v>1.2605042016806723E-2</v>
      </c>
      <c r="BX15">
        <v>4.6218487394957986E-2</v>
      </c>
      <c r="BY15">
        <v>0.17647058823529413</v>
      </c>
      <c r="BZ15">
        <v>2.9411764705882353E-2</v>
      </c>
      <c r="CA15">
        <v>5.0420168067226892E-2</v>
      </c>
      <c r="CB15">
        <v>4.2016806722689079E-2</v>
      </c>
      <c r="CC15">
        <v>238</v>
      </c>
      <c r="CD15">
        <v>144</v>
      </c>
      <c r="CE15">
        <v>91</v>
      </c>
      <c r="CF15">
        <v>0</v>
      </c>
      <c r="CG15">
        <v>11</v>
      </c>
      <c r="CH15">
        <v>0</v>
      </c>
      <c r="CI15">
        <v>11</v>
      </c>
      <c r="CJ15">
        <v>0</v>
      </c>
      <c r="CK15">
        <v>0.60504201680672265</v>
      </c>
      <c r="CL15">
        <v>0.38235294117647056</v>
      </c>
      <c r="CM15">
        <v>0</v>
      </c>
      <c r="CN15">
        <v>0</v>
      </c>
      <c r="CO15">
        <v>1</v>
      </c>
      <c r="CP15">
        <v>0</v>
      </c>
    </row>
    <row r="16" spans="1:94" x14ac:dyDescent="0.15">
      <c r="A16" t="s">
        <v>448</v>
      </c>
      <c r="B16" t="s">
        <v>430</v>
      </c>
      <c r="C16" t="s">
        <v>449</v>
      </c>
      <c r="D16">
        <v>122</v>
      </c>
      <c r="E16">
        <v>68</v>
      </c>
      <c r="F16">
        <v>22</v>
      </c>
      <c r="G16">
        <v>22</v>
      </c>
      <c r="H16">
        <v>0.55737704918032782</v>
      </c>
      <c r="I16">
        <v>0.18032786885245902</v>
      </c>
      <c r="J16">
        <v>0.18032786885245902</v>
      </c>
      <c r="K16">
        <v>300</v>
      </c>
      <c r="L16">
        <v>40</v>
      </c>
      <c r="M16">
        <v>68</v>
      </c>
      <c r="N16">
        <v>169</v>
      </c>
      <c r="O16">
        <v>0.13333333333333333</v>
      </c>
      <c r="P16">
        <v>0.22666666666666666</v>
      </c>
      <c r="Q16">
        <v>0.56333333333333335</v>
      </c>
      <c r="R16">
        <v>300</v>
      </c>
      <c r="S16">
        <v>23</v>
      </c>
      <c r="T16">
        <v>7</v>
      </c>
      <c r="U16">
        <v>2</v>
      </c>
      <c r="V16">
        <v>0</v>
      </c>
      <c r="W16">
        <v>32</v>
      </c>
      <c r="X16">
        <v>144</v>
      </c>
      <c r="Y16">
        <v>9</v>
      </c>
      <c r="Z16">
        <v>4</v>
      </c>
      <c r="AA16">
        <v>2</v>
      </c>
      <c r="AB16">
        <v>0</v>
      </c>
      <c r="AC16">
        <v>15</v>
      </c>
      <c r="AD16">
        <v>156</v>
      </c>
      <c r="AE16">
        <v>14</v>
      </c>
      <c r="AF16">
        <v>3</v>
      </c>
      <c r="AG16">
        <v>0</v>
      </c>
      <c r="AH16">
        <v>0</v>
      </c>
      <c r="AI16">
        <v>17</v>
      </c>
      <c r="AJ16">
        <v>0.10666666666666667</v>
      </c>
      <c r="AK16">
        <v>0.21875</v>
      </c>
      <c r="AL16">
        <v>6.25E-2</v>
      </c>
      <c r="AM16">
        <v>0</v>
      </c>
      <c r="AN16">
        <v>0.46875</v>
      </c>
      <c r="AO16">
        <v>0.53125</v>
      </c>
      <c r="AP16">
        <v>131</v>
      </c>
      <c r="AQ16">
        <v>10</v>
      </c>
      <c r="AR16">
        <v>0</v>
      </c>
      <c r="AS16">
        <v>0</v>
      </c>
      <c r="AT16">
        <v>15</v>
      </c>
      <c r="AU16">
        <v>22</v>
      </c>
      <c r="AV16">
        <v>1</v>
      </c>
      <c r="AW16">
        <v>1</v>
      </c>
      <c r="AX16">
        <v>8</v>
      </c>
      <c r="AY16">
        <v>22</v>
      </c>
      <c r="AZ16">
        <v>1</v>
      </c>
      <c r="BA16">
        <v>1</v>
      </c>
      <c r="BB16">
        <v>0</v>
      </c>
      <c r="BC16">
        <v>3</v>
      </c>
      <c r="BD16">
        <v>3</v>
      </c>
      <c r="BE16">
        <v>4</v>
      </c>
      <c r="BF16">
        <v>21</v>
      </c>
      <c r="BG16">
        <v>2</v>
      </c>
      <c r="BH16">
        <v>13</v>
      </c>
      <c r="BI16">
        <v>4</v>
      </c>
      <c r="BJ16">
        <v>7.6335877862595422E-2</v>
      </c>
      <c r="BK16">
        <v>0</v>
      </c>
      <c r="BL16">
        <v>0</v>
      </c>
      <c r="BM16">
        <v>0.11450381679389313</v>
      </c>
      <c r="BN16">
        <v>0.16793893129770993</v>
      </c>
      <c r="BO16">
        <v>7.6335877862595417E-3</v>
      </c>
      <c r="BP16">
        <v>7.6335877862595417E-3</v>
      </c>
      <c r="BQ16">
        <v>6.1068702290076333E-2</v>
      </c>
      <c r="BR16">
        <v>0.16793893129770993</v>
      </c>
      <c r="BS16">
        <v>7.6335877862595417E-3</v>
      </c>
      <c r="BT16">
        <v>7.6335877862595417E-3</v>
      </c>
      <c r="BU16">
        <v>0</v>
      </c>
      <c r="BV16">
        <v>2.2900763358778626E-2</v>
      </c>
      <c r="BW16">
        <v>2.2900763358778626E-2</v>
      </c>
      <c r="BX16">
        <v>3.0534351145038167E-2</v>
      </c>
      <c r="BY16">
        <v>0.16030534351145037</v>
      </c>
      <c r="BZ16">
        <v>1.5267175572519083E-2</v>
      </c>
      <c r="CA16">
        <v>9.9236641221374045E-2</v>
      </c>
      <c r="CB16">
        <v>3.0534351145038167E-2</v>
      </c>
      <c r="CC16">
        <v>131</v>
      </c>
      <c r="CD16">
        <v>63</v>
      </c>
      <c r="CE16">
        <v>68</v>
      </c>
      <c r="CF16">
        <v>0</v>
      </c>
      <c r="CG16">
        <v>15</v>
      </c>
      <c r="CH16">
        <v>2</v>
      </c>
      <c r="CI16">
        <v>12</v>
      </c>
      <c r="CJ16">
        <v>0</v>
      </c>
      <c r="CK16">
        <v>0.48091603053435117</v>
      </c>
      <c r="CL16">
        <v>0.51908396946564883</v>
      </c>
      <c r="CM16">
        <v>0</v>
      </c>
      <c r="CN16">
        <v>0.13333333333333333</v>
      </c>
      <c r="CO16">
        <v>0.8</v>
      </c>
      <c r="CP16">
        <v>0</v>
      </c>
    </row>
    <row r="17" spans="1:94" x14ac:dyDescent="0.15">
      <c r="A17" t="s">
        <v>450</v>
      </c>
      <c r="B17" t="s">
        <v>430</v>
      </c>
      <c r="C17" t="s">
        <v>451</v>
      </c>
      <c r="D17">
        <v>181</v>
      </c>
      <c r="E17">
        <v>117</v>
      </c>
      <c r="F17">
        <v>47</v>
      </c>
      <c r="G17">
        <v>38</v>
      </c>
      <c r="H17">
        <v>0.64640883977900554</v>
      </c>
      <c r="I17">
        <v>0.25966850828729282</v>
      </c>
      <c r="J17">
        <v>0.20994475138121546</v>
      </c>
      <c r="K17">
        <v>471</v>
      </c>
      <c r="L17">
        <v>46</v>
      </c>
      <c r="M17">
        <v>181</v>
      </c>
      <c r="N17">
        <v>241</v>
      </c>
      <c r="O17">
        <v>9.7664543524416142E-2</v>
      </c>
      <c r="P17">
        <v>0.38428874734607221</v>
      </c>
      <c r="Q17">
        <v>0.51167728237791932</v>
      </c>
      <c r="R17">
        <v>471</v>
      </c>
      <c r="S17">
        <v>56</v>
      </c>
      <c r="T17">
        <v>28</v>
      </c>
      <c r="U17">
        <v>12</v>
      </c>
      <c r="V17">
        <v>2</v>
      </c>
      <c r="W17">
        <v>98</v>
      </c>
      <c r="X17">
        <v>212</v>
      </c>
      <c r="Y17">
        <v>25</v>
      </c>
      <c r="Z17">
        <v>13</v>
      </c>
      <c r="AA17">
        <v>7</v>
      </c>
      <c r="AB17">
        <v>1</v>
      </c>
      <c r="AC17">
        <v>46</v>
      </c>
      <c r="AD17">
        <v>259</v>
      </c>
      <c r="AE17">
        <v>31</v>
      </c>
      <c r="AF17">
        <v>15</v>
      </c>
      <c r="AG17">
        <v>5</v>
      </c>
      <c r="AH17">
        <v>1</v>
      </c>
      <c r="AI17">
        <v>52</v>
      </c>
      <c r="AJ17">
        <v>0.20806794055201699</v>
      </c>
      <c r="AK17">
        <v>0.2857142857142857</v>
      </c>
      <c r="AL17">
        <v>0.12244897959183673</v>
      </c>
      <c r="AM17">
        <v>2.0408163265306121E-2</v>
      </c>
      <c r="AN17">
        <v>0.46938775510204084</v>
      </c>
      <c r="AO17">
        <v>0.53061224489795922</v>
      </c>
      <c r="AP17">
        <v>194</v>
      </c>
      <c r="AQ17">
        <v>22</v>
      </c>
      <c r="AR17">
        <v>0</v>
      </c>
      <c r="AS17">
        <v>0</v>
      </c>
      <c r="AT17">
        <v>17</v>
      </c>
      <c r="AU17">
        <v>26</v>
      </c>
      <c r="AV17">
        <v>0</v>
      </c>
      <c r="AW17">
        <v>2</v>
      </c>
      <c r="AX17">
        <v>7</v>
      </c>
      <c r="AY17">
        <v>31</v>
      </c>
      <c r="AZ17">
        <v>5</v>
      </c>
      <c r="BA17">
        <v>0</v>
      </c>
      <c r="BB17">
        <v>4</v>
      </c>
      <c r="BC17">
        <v>19</v>
      </c>
      <c r="BD17">
        <v>14</v>
      </c>
      <c r="BE17">
        <v>4</v>
      </c>
      <c r="BF17">
        <v>23</v>
      </c>
      <c r="BG17">
        <v>3</v>
      </c>
      <c r="BH17">
        <v>3</v>
      </c>
      <c r="BI17">
        <v>13</v>
      </c>
      <c r="BJ17">
        <v>0.1134020618556701</v>
      </c>
      <c r="BK17">
        <v>0</v>
      </c>
      <c r="BL17">
        <v>0</v>
      </c>
      <c r="BM17">
        <v>8.7628865979381437E-2</v>
      </c>
      <c r="BN17">
        <v>0.13402061855670103</v>
      </c>
      <c r="BO17">
        <v>0</v>
      </c>
      <c r="BP17">
        <v>1.0309278350515464E-2</v>
      </c>
      <c r="BQ17">
        <v>3.608247422680412E-2</v>
      </c>
      <c r="BR17">
        <v>0.15979381443298968</v>
      </c>
      <c r="BS17">
        <v>2.5773195876288658E-2</v>
      </c>
      <c r="BT17">
        <v>0</v>
      </c>
      <c r="BU17">
        <v>2.0618556701030927E-2</v>
      </c>
      <c r="BV17">
        <v>9.7938144329896906E-2</v>
      </c>
      <c r="BW17">
        <v>7.2164948453608241E-2</v>
      </c>
      <c r="BX17">
        <v>2.0618556701030927E-2</v>
      </c>
      <c r="BY17">
        <v>0.11855670103092783</v>
      </c>
      <c r="BZ17">
        <v>1.5463917525773196E-2</v>
      </c>
      <c r="CA17">
        <v>1.5463917525773196E-2</v>
      </c>
      <c r="CB17">
        <v>6.7010309278350513E-2</v>
      </c>
      <c r="CC17">
        <v>194</v>
      </c>
      <c r="CD17">
        <v>117</v>
      </c>
      <c r="CE17">
        <v>74</v>
      </c>
      <c r="CF17">
        <v>0</v>
      </c>
      <c r="CG17">
        <v>12</v>
      </c>
      <c r="CH17">
        <v>6</v>
      </c>
      <c r="CI17">
        <v>6</v>
      </c>
      <c r="CJ17">
        <v>0</v>
      </c>
      <c r="CK17">
        <v>0.60309278350515461</v>
      </c>
      <c r="CL17">
        <v>0.38144329896907214</v>
      </c>
      <c r="CM17">
        <v>0</v>
      </c>
      <c r="CN17">
        <v>0.5</v>
      </c>
      <c r="CO17">
        <v>0.5</v>
      </c>
      <c r="CP17">
        <v>0</v>
      </c>
    </row>
    <row r="18" spans="1:94" x14ac:dyDescent="0.15">
      <c r="A18" t="s">
        <v>452</v>
      </c>
      <c r="B18" t="s">
        <v>430</v>
      </c>
      <c r="C18" t="s">
        <v>453</v>
      </c>
      <c r="D18">
        <v>326</v>
      </c>
      <c r="E18">
        <v>182</v>
      </c>
      <c r="F18">
        <v>66</v>
      </c>
      <c r="G18">
        <v>51</v>
      </c>
      <c r="H18">
        <v>0.55828220858895705</v>
      </c>
      <c r="I18">
        <v>0.20245398773006135</v>
      </c>
      <c r="J18">
        <v>0.15644171779141106</v>
      </c>
      <c r="K18">
        <v>839</v>
      </c>
      <c r="L18">
        <v>77</v>
      </c>
      <c r="M18">
        <v>287</v>
      </c>
      <c r="N18">
        <v>475</v>
      </c>
      <c r="O18">
        <v>9.1775923718712751E-2</v>
      </c>
      <c r="P18">
        <v>0.34207389749702027</v>
      </c>
      <c r="Q18">
        <v>0.56615017878426699</v>
      </c>
      <c r="R18">
        <v>839</v>
      </c>
      <c r="S18">
        <v>81</v>
      </c>
      <c r="T18">
        <v>54</v>
      </c>
      <c r="U18">
        <v>15</v>
      </c>
      <c r="V18">
        <v>0</v>
      </c>
      <c r="W18">
        <v>150</v>
      </c>
      <c r="X18">
        <v>394</v>
      </c>
      <c r="Y18">
        <v>35</v>
      </c>
      <c r="Z18">
        <v>25</v>
      </c>
      <c r="AA18">
        <v>11</v>
      </c>
      <c r="AB18">
        <v>0</v>
      </c>
      <c r="AC18">
        <v>71</v>
      </c>
      <c r="AD18">
        <v>445</v>
      </c>
      <c r="AE18">
        <v>46</v>
      </c>
      <c r="AF18">
        <v>29</v>
      </c>
      <c r="AG18">
        <v>4</v>
      </c>
      <c r="AH18">
        <v>0</v>
      </c>
      <c r="AI18">
        <v>79</v>
      </c>
      <c r="AJ18">
        <v>0.17878426698450536</v>
      </c>
      <c r="AK18">
        <v>0.36</v>
      </c>
      <c r="AL18">
        <v>0.1</v>
      </c>
      <c r="AM18">
        <v>0</v>
      </c>
      <c r="AN18">
        <v>0.47333333333333333</v>
      </c>
      <c r="AO18">
        <v>0.52666666666666662</v>
      </c>
      <c r="AP18">
        <v>394</v>
      </c>
      <c r="AQ18">
        <v>47</v>
      </c>
      <c r="AR18">
        <v>0</v>
      </c>
      <c r="AS18">
        <v>0</v>
      </c>
      <c r="AT18">
        <v>43</v>
      </c>
      <c r="AU18">
        <v>67</v>
      </c>
      <c r="AV18">
        <v>0</v>
      </c>
      <c r="AW18">
        <v>5</v>
      </c>
      <c r="AX18">
        <v>13</v>
      </c>
      <c r="AY18">
        <v>60</v>
      </c>
      <c r="AZ18">
        <v>5</v>
      </c>
      <c r="BA18">
        <v>3</v>
      </c>
      <c r="BB18">
        <v>8</v>
      </c>
      <c r="BC18">
        <v>23</v>
      </c>
      <c r="BD18">
        <v>10</v>
      </c>
      <c r="BE18">
        <v>17</v>
      </c>
      <c r="BF18">
        <v>59</v>
      </c>
      <c r="BG18">
        <v>6</v>
      </c>
      <c r="BH18">
        <v>19</v>
      </c>
      <c r="BI18">
        <v>9</v>
      </c>
      <c r="BJ18">
        <v>0.11928934010152284</v>
      </c>
      <c r="BK18">
        <v>0</v>
      </c>
      <c r="BL18">
        <v>0</v>
      </c>
      <c r="BM18">
        <v>0.10913705583756345</v>
      </c>
      <c r="BN18">
        <v>0.17005076142131981</v>
      </c>
      <c r="BO18">
        <v>0</v>
      </c>
      <c r="BP18">
        <v>1.2690355329949238E-2</v>
      </c>
      <c r="BQ18">
        <v>3.2994923857868022E-2</v>
      </c>
      <c r="BR18">
        <v>0.15228426395939088</v>
      </c>
      <c r="BS18">
        <v>1.2690355329949238E-2</v>
      </c>
      <c r="BT18">
        <v>7.6142131979695434E-3</v>
      </c>
      <c r="BU18">
        <v>2.030456852791878E-2</v>
      </c>
      <c r="BV18">
        <v>5.8375634517766499E-2</v>
      </c>
      <c r="BW18">
        <v>2.5380710659898477E-2</v>
      </c>
      <c r="BX18">
        <v>4.3147208121827409E-2</v>
      </c>
      <c r="BY18">
        <v>0.14974619289340102</v>
      </c>
      <c r="BZ18">
        <v>1.5228426395939087E-2</v>
      </c>
      <c r="CA18">
        <v>4.8223350253807105E-2</v>
      </c>
      <c r="CB18">
        <v>2.2842639593908629E-2</v>
      </c>
      <c r="CC18">
        <v>394</v>
      </c>
      <c r="CD18">
        <v>204</v>
      </c>
      <c r="CE18">
        <v>189</v>
      </c>
      <c r="CF18">
        <v>1</v>
      </c>
      <c r="CG18">
        <v>42</v>
      </c>
      <c r="CH18">
        <v>3</v>
      </c>
      <c r="CI18">
        <v>38</v>
      </c>
      <c r="CJ18">
        <v>0</v>
      </c>
      <c r="CK18">
        <v>0.51776649746192893</v>
      </c>
      <c r="CL18">
        <v>0.47969543147208121</v>
      </c>
      <c r="CM18">
        <v>2.5380710659898475E-3</v>
      </c>
      <c r="CN18">
        <v>7.1428571428571425E-2</v>
      </c>
      <c r="CO18">
        <v>0.90476190476190477</v>
      </c>
      <c r="CP18">
        <v>0</v>
      </c>
    </row>
  </sheetData>
  <mergeCells count="8">
    <mergeCell ref="AP1:CB1"/>
    <mergeCell ref="CC1:CP1"/>
    <mergeCell ref="A1:A2"/>
    <mergeCell ref="B1:B2"/>
    <mergeCell ref="C1:C2"/>
    <mergeCell ref="D1:J1"/>
    <mergeCell ref="K1:Q1"/>
    <mergeCell ref="R1:AO1"/>
  </mergeCells>
  <phoneticPr fontId="2"/>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39"/>
  <sheetViews>
    <sheetView zoomScale="85" zoomScaleNormal="85" zoomScaleSheetLayoutView="85" workbookViewId="0"/>
  </sheetViews>
  <sheetFormatPr defaultColWidth="9" defaultRowHeight="22.5" customHeight="1" x14ac:dyDescent="0.15"/>
  <cols>
    <col min="1" max="1" width="9" style="20" customWidth="1"/>
    <col min="2" max="2" width="9" style="20"/>
    <col min="3" max="3" width="13.625" style="20" customWidth="1"/>
    <col min="4" max="4" width="10.75" style="20" customWidth="1"/>
    <col min="5" max="5" width="12" style="20" customWidth="1"/>
    <col min="6" max="6" width="13.625" style="20" customWidth="1"/>
    <col min="7" max="11" width="9" style="20"/>
    <col min="12" max="12" width="9.375" style="20" bestFit="1" customWidth="1"/>
    <col min="13" max="16384" width="9" style="20"/>
  </cols>
  <sheetData>
    <row r="1" spans="1:10" ht="22.5" customHeight="1" x14ac:dyDescent="0.15">
      <c r="A1" s="20" t="s">
        <v>224</v>
      </c>
    </row>
    <row r="2" spans="1:10" ht="22.5" customHeight="1" x14ac:dyDescent="0.15">
      <c r="B2" s="253" t="str">
        <f>管理者入力シート!B4</f>
        <v>中堂四枝上畑地域</v>
      </c>
      <c r="C2" s="253"/>
      <c r="D2" s="253"/>
      <c r="E2" s="252" t="s">
        <v>225</v>
      </c>
      <c r="F2" s="252"/>
      <c r="G2" s="252"/>
      <c r="H2" s="252"/>
      <c r="I2" s="252"/>
    </row>
    <row r="3" spans="1:10" ht="22.5" customHeight="1" x14ac:dyDescent="0.15">
      <c r="B3" s="253"/>
      <c r="C3" s="253"/>
      <c r="D3" s="253"/>
      <c r="E3" s="252"/>
      <c r="F3" s="252"/>
      <c r="G3" s="252"/>
      <c r="H3" s="252"/>
      <c r="I3" s="252"/>
    </row>
    <row r="4" spans="1:10" ht="22.5" customHeight="1" x14ac:dyDescent="0.15">
      <c r="B4" s="107"/>
      <c r="C4" s="107"/>
      <c r="D4" s="107"/>
      <c r="E4" s="35"/>
      <c r="F4" s="35"/>
      <c r="G4" s="35"/>
      <c r="H4" s="35"/>
      <c r="I4" s="35"/>
      <c r="J4" s="35"/>
    </row>
    <row r="5" spans="1:10" s="39" customFormat="1" ht="40.5" customHeight="1" x14ac:dyDescent="0.15">
      <c r="A5" s="108" t="s">
        <v>64</v>
      </c>
    </row>
    <row r="6" spans="1:10" ht="22.5" customHeight="1" x14ac:dyDescent="0.15">
      <c r="A6" s="248">
        <f>管理者入力シート!B5</f>
        <v>2020</v>
      </c>
      <c r="B6" s="248"/>
      <c r="C6" s="20" t="s">
        <v>248</v>
      </c>
      <c r="E6" s="256">
        <f>管理者用グラフシート!E6</f>
        <v>696</v>
      </c>
      <c r="F6" s="256"/>
      <c r="G6" s="20" t="s">
        <v>54</v>
      </c>
    </row>
    <row r="7" spans="1:10" ht="22.5" customHeight="1" x14ac:dyDescent="0.15">
      <c r="A7" s="248">
        <f>管理者用グラフシート!B4</f>
        <v>2010</v>
      </c>
      <c r="B7" s="248"/>
      <c r="C7" s="82" t="s">
        <v>226</v>
      </c>
      <c r="D7" s="250">
        <f>E6-管理者用グラフシート!E4</f>
        <v>-87</v>
      </c>
      <c r="E7" s="250"/>
      <c r="F7" s="20" t="s">
        <v>356</v>
      </c>
    </row>
    <row r="8" spans="1:10" ht="22.5" customHeight="1" x14ac:dyDescent="0.15">
      <c r="A8" s="247" t="s">
        <v>380</v>
      </c>
      <c r="B8" s="247"/>
      <c r="C8" s="203">
        <f>管理者用グラフシート!C6-管理者用グラフシート!C4</f>
        <v>-46</v>
      </c>
      <c r="D8" s="206" t="s">
        <v>381</v>
      </c>
      <c r="F8" s="203">
        <f>管理者用グラフシート!D6-管理者用グラフシート!D4</f>
        <v>-41</v>
      </c>
      <c r="G8" s="206" t="s">
        <v>382</v>
      </c>
    </row>
    <row r="22" spans="1:9" ht="22.5" customHeight="1" x14ac:dyDescent="0.15">
      <c r="G22" s="20">
        <v>15</v>
      </c>
    </row>
    <row r="26" spans="1:9" ht="22.5" customHeight="1" thickBot="1" x14ac:dyDescent="0.2"/>
    <row r="27" spans="1:9" ht="22.5" customHeight="1" x14ac:dyDescent="0.15">
      <c r="A27" s="97" t="s">
        <v>227</v>
      </c>
      <c r="B27" s="90"/>
      <c r="C27" s="90"/>
      <c r="D27" s="90"/>
      <c r="E27" s="90"/>
      <c r="F27" s="90"/>
      <c r="G27" s="90"/>
      <c r="H27" s="90"/>
      <c r="I27" s="91"/>
    </row>
    <row r="28" spans="1:9" ht="22.5" customHeight="1" x14ac:dyDescent="0.15">
      <c r="A28" s="92"/>
      <c r="I28" s="93"/>
    </row>
    <row r="29" spans="1:9" ht="22.5" customHeight="1" x14ac:dyDescent="0.15">
      <c r="A29" s="92"/>
      <c r="I29" s="93"/>
    </row>
    <row r="30" spans="1:9" ht="22.5" customHeight="1" x14ac:dyDescent="0.15">
      <c r="A30" s="92"/>
      <c r="I30" s="93"/>
    </row>
    <row r="31" spans="1:9" ht="22.5" customHeight="1" x14ac:dyDescent="0.15">
      <c r="A31" s="92"/>
      <c r="I31" s="93"/>
    </row>
    <row r="32" spans="1:9" ht="22.5" customHeight="1" x14ac:dyDescent="0.15">
      <c r="A32" s="92"/>
      <c r="I32" s="93"/>
    </row>
    <row r="33" spans="1:9" ht="22.5" customHeight="1" x14ac:dyDescent="0.15">
      <c r="A33" s="92"/>
      <c r="I33" s="93"/>
    </row>
    <row r="34" spans="1:9" ht="22.5" customHeight="1" thickBot="1" x14ac:dyDescent="0.2">
      <c r="A34" s="94"/>
      <c r="B34" s="95"/>
      <c r="C34" s="95"/>
      <c r="D34" s="95"/>
      <c r="E34" s="95"/>
      <c r="F34" s="95"/>
      <c r="G34" s="95"/>
      <c r="H34" s="95"/>
      <c r="I34" s="96"/>
    </row>
    <row r="35" spans="1:9" s="39" customFormat="1" ht="40.5" customHeight="1" x14ac:dyDescent="0.15">
      <c r="A35" s="108" t="s">
        <v>68</v>
      </c>
    </row>
    <row r="36" spans="1:9" ht="22.5" customHeight="1" x14ac:dyDescent="0.15">
      <c r="A36" s="20" t="s">
        <v>65</v>
      </c>
      <c r="E36" s="34"/>
      <c r="F36" s="249">
        <f>管理者用グラフシート!C12</f>
        <v>36</v>
      </c>
      <c r="G36" s="249"/>
      <c r="H36" s="20" t="s">
        <v>54</v>
      </c>
    </row>
    <row r="37" spans="1:9" ht="22.5" customHeight="1" x14ac:dyDescent="0.15">
      <c r="A37" s="20" t="s">
        <v>66</v>
      </c>
      <c r="F37" s="249">
        <f>管理者用グラフシート!C16</f>
        <v>16</v>
      </c>
      <c r="G37" s="249"/>
      <c r="H37" s="20" t="s">
        <v>54</v>
      </c>
    </row>
    <row r="38" spans="1:9" ht="22.5" customHeight="1" x14ac:dyDescent="0.15">
      <c r="D38" s="251"/>
      <c r="E38" s="251"/>
      <c r="F38" s="35"/>
      <c r="G38" s="34"/>
    </row>
    <row r="39" spans="1:9" ht="22.5" customHeight="1" x14ac:dyDescent="0.15">
      <c r="A39" s="248">
        <f>管理者用グラフシート!B4</f>
        <v>2010</v>
      </c>
      <c r="B39" s="248"/>
      <c r="C39" s="20" t="s">
        <v>228</v>
      </c>
      <c r="E39" s="34"/>
      <c r="F39" s="35"/>
    </row>
    <row r="40" spans="1:9" ht="22.5" customHeight="1" x14ac:dyDescent="0.15">
      <c r="B40" s="20" t="s">
        <v>67</v>
      </c>
      <c r="D40" s="250">
        <f>F36-管理者用グラフシート!C10</f>
        <v>2</v>
      </c>
      <c r="E40" s="250"/>
      <c r="F40" s="20" t="s">
        <v>60</v>
      </c>
    </row>
    <row r="41" spans="1:9" ht="22.5" customHeight="1" x14ac:dyDescent="0.15">
      <c r="B41" s="20" t="s">
        <v>69</v>
      </c>
      <c r="D41" s="250">
        <f>F37-管理者用グラフシート!C14</f>
        <v>-7</v>
      </c>
      <c r="E41" s="250"/>
      <c r="F41" s="20" t="s">
        <v>70</v>
      </c>
    </row>
    <row r="53" spans="1:13" ht="22.5" customHeight="1" x14ac:dyDescent="0.15">
      <c r="M53" s="72"/>
    </row>
    <row r="62" spans="1:13" ht="22.5" customHeight="1" thickBot="1" x14ac:dyDescent="0.2"/>
    <row r="63" spans="1:13" ht="22.5" customHeight="1" x14ac:dyDescent="0.15">
      <c r="A63" s="242" t="s">
        <v>426</v>
      </c>
      <c r="B63" s="90"/>
      <c r="C63" s="90"/>
      <c r="D63" s="90"/>
      <c r="E63" s="90"/>
      <c r="F63" s="90"/>
      <c r="G63" s="90"/>
      <c r="H63" s="90"/>
      <c r="I63" s="91"/>
    </row>
    <row r="64" spans="1:13" ht="22.5" customHeight="1" x14ac:dyDescent="0.15">
      <c r="A64" s="102"/>
      <c r="I64" s="93"/>
    </row>
    <row r="65" spans="1:9" ht="22.5" customHeight="1" x14ac:dyDescent="0.15">
      <c r="A65" s="102"/>
      <c r="I65" s="93"/>
    </row>
    <row r="66" spans="1:9" ht="22.5" customHeight="1" x14ac:dyDescent="0.15">
      <c r="A66" s="92"/>
      <c r="I66" s="93"/>
    </row>
    <row r="67" spans="1:9" ht="22.5" customHeight="1" x14ac:dyDescent="0.15">
      <c r="A67" s="92"/>
      <c r="I67" s="93"/>
    </row>
    <row r="68" spans="1:9" ht="22.5" customHeight="1" thickBot="1" x14ac:dyDescent="0.2">
      <c r="A68" s="94"/>
      <c r="B68" s="95"/>
      <c r="C68" s="95"/>
      <c r="D68" s="95"/>
      <c r="E68" s="95"/>
      <c r="F68" s="95"/>
      <c r="G68" s="95"/>
      <c r="H68" s="95"/>
      <c r="I68" s="96"/>
    </row>
    <row r="69" spans="1:9" s="39" customFormat="1" ht="40.5" customHeight="1" x14ac:dyDescent="0.15">
      <c r="A69" s="108" t="s">
        <v>74</v>
      </c>
    </row>
    <row r="70" spans="1:9" ht="22.5" customHeight="1" x14ac:dyDescent="0.15">
      <c r="A70" s="20" t="s">
        <v>75</v>
      </c>
      <c r="C70" s="249">
        <f>管理者用グラフシート!C22</f>
        <v>295</v>
      </c>
      <c r="D70" s="249"/>
      <c r="E70" s="20" t="s">
        <v>76</v>
      </c>
      <c r="F70" s="37"/>
      <c r="G70" s="254">
        <f>管理者用グラフシート!C32</f>
        <v>0.42</v>
      </c>
      <c r="H70" s="254"/>
      <c r="I70" s="20" t="s">
        <v>77</v>
      </c>
    </row>
    <row r="71" spans="1:9" ht="22.5" customHeight="1" x14ac:dyDescent="0.15">
      <c r="A71" s="20" t="s">
        <v>78</v>
      </c>
      <c r="C71" s="249">
        <f>管理者用グラフシート!C26</f>
        <v>150</v>
      </c>
      <c r="D71" s="249"/>
      <c r="E71" s="20" t="s">
        <v>76</v>
      </c>
      <c r="F71" s="37"/>
      <c r="G71" s="254">
        <f>管理者用グラフシート!C36</f>
        <v>0.22</v>
      </c>
      <c r="H71" s="254"/>
      <c r="I71" s="20" t="s">
        <v>77</v>
      </c>
    </row>
    <row r="72" spans="1:9" ht="22.5" customHeight="1" x14ac:dyDescent="0.15">
      <c r="D72" s="251"/>
      <c r="E72" s="251"/>
      <c r="F72" s="35"/>
      <c r="G72" s="34"/>
    </row>
    <row r="73" spans="1:9" ht="22.5" customHeight="1" x14ac:dyDescent="0.15">
      <c r="A73" s="248">
        <f>管理者用グラフシート!B4</f>
        <v>2010</v>
      </c>
      <c r="B73" s="248"/>
      <c r="C73" s="20" t="s">
        <v>228</v>
      </c>
      <c r="E73" s="34"/>
      <c r="F73" s="35"/>
    </row>
    <row r="74" spans="1:9" ht="22.5" customHeight="1" x14ac:dyDescent="0.15">
      <c r="B74" s="20" t="s">
        <v>81</v>
      </c>
      <c r="D74" s="37"/>
      <c r="E74" s="249" t="str">
        <f>IF((管理者用グラフシート!C32-管理者用グラフシート!C30)&gt;=0.01,ABS(ROUND(管理者用グラフシート!C32-管理者用グラフシート!C30,2)*100)&amp;"ポイント上昇",IF((管理者用グラフシート!C32-管理者用グラフシート!C30)&lt;=-0.01,ABS(ROUND(管理者用グラフシート!C32-管理者用グラフシート!C30,2)*100)&amp;"ポイント低下","ほぼ横ばい"))</f>
        <v>9ポイント上昇</v>
      </c>
      <c r="F74" s="249"/>
      <c r="G74" s="249"/>
      <c r="H74" s="20" t="s">
        <v>82</v>
      </c>
    </row>
    <row r="75" spans="1:9" ht="22.5" customHeight="1" x14ac:dyDescent="0.15">
      <c r="B75" s="20" t="s">
        <v>83</v>
      </c>
      <c r="D75" s="37"/>
      <c r="E75" s="255" t="str">
        <f>IF((管理者用グラフシート!C36-管理者用グラフシート!C34)&gt;=0.01,ABS(ROUND(管理者用グラフシート!C36-管理者用グラフシート!C34,2)*100)&amp;"ポイント上昇",IF((管理者用グラフシート!C36-管理者用グラフシート!C34)&lt;=-0.01,ABS(ROUND(管理者用グラフシート!C36-管理者用グラフシート!C34,2)*100)&amp;"ポイント低下","ほぼ横ばい"))</f>
        <v>5ポイント上昇</v>
      </c>
      <c r="F75" s="255"/>
      <c r="G75" s="255"/>
      <c r="H75" s="20" t="s">
        <v>77</v>
      </c>
    </row>
    <row r="95" spans="1:9" ht="22.5" customHeight="1" thickBot="1" x14ac:dyDescent="0.2"/>
    <row r="96" spans="1:9" ht="22.5" customHeight="1" x14ac:dyDescent="0.15">
      <c r="A96" s="97" t="s">
        <v>427</v>
      </c>
      <c r="B96" s="90"/>
      <c r="C96" s="90"/>
      <c r="D96" s="90"/>
      <c r="E96" s="90"/>
      <c r="F96" s="90"/>
      <c r="G96" s="90"/>
      <c r="H96" s="90"/>
      <c r="I96" s="91"/>
    </row>
    <row r="97" spans="1:9" ht="22.5" customHeight="1" x14ac:dyDescent="0.15">
      <c r="A97" s="102"/>
      <c r="I97" s="93"/>
    </row>
    <row r="98" spans="1:9" ht="22.5" customHeight="1" x14ac:dyDescent="0.15">
      <c r="A98" s="102"/>
      <c r="I98" s="93"/>
    </row>
    <row r="99" spans="1:9" ht="22.5" customHeight="1" x14ac:dyDescent="0.15">
      <c r="A99" s="92"/>
      <c r="I99" s="93"/>
    </row>
    <row r="100" spans="1:9" ht="22.5" customHeight="1" x14ac:dyDescent="0.15">
      <c r="A100" s="92"/>
      <c r="I100" s="93"/>
    </row>
    <row r="101" spans="1:9" ht="22.5" customHeight="1" thickBot="1" x14ac:dyDescent="0.2">
      <c r="A101" s="94"/>
      <c r="B101" s="95"/>
      <c r="C101" s="95"/>
      <c r="D101" s="95"/>
      <c r="E101" s="95"/>
      <c r="F101" s="95"/>
      <c r="G101" s="95"/>
      <c r="H101" s="95"/>
      <c r="I101" s="96"/>
    </row>
    <row r="103" spans="1:9" s="39" customFormat="1" ht="40.5" customHeight="1" x14ac:dyDescent="0.15">
      <c r="A103" s="108" t="s">
        <v>112</v>
      </c>
    </row>
    <row r="104" spans="1:9" ht="22.5" customHeight="1" x14ac:dyDescent="0.15">
      <c r="A104" s="248">
        <f>管理者用グラフシート!B39</f>
        <v>2010</v>
      </c>
      <c r="B104" s="248"/>
      <c r="C104" s="37" t="s">
        <v>326</v>
      </c>
      <c r="D104" s="36"/>
      <c r="F104" s="37"/>
      <c r="G104" s="111"/>
      <c r="H104" s="111"/>
    </row>
    <row r="105" spans="1:9" ht="22.5" customHeight="1" x14ac:dyDescent="0.15">
      <c r="C105" s="36"/>
      <c r="D105" s="36"/>
      <c r="F105" s="37"/>
      <c r="G105" s="111"/>
      <c r="H105" s="111"/>
    </row>
    <row r="106" spans="1:9" ht="22.5" customHeight="1" x14ac:dyDescent="0.15">
      <c r="D106" s="34"/>
      <c r="E106" s="34"/>
      <c r="F106" s="35"/>
      <c r="G106" s="34"/>
    </row>
    <row r="107" spans="1:9" ht="22.5" customHeight="1" x14ac:dyDescent="0.15">
      <c r="C107" s="106"/>
      <c r="E107" s="34"/>
      <c r="F107" s="35"/>
    </row>
    <row r="108" spans="1:9" ht="22.5" customHeight="1" x14ac:dyDescent="0.15">
      <c r="D108" s="37"/>
      <c r="E108" s="36"/>
      <c r="F108" s="36"/>
      <c r="G108" s="36"/>
    </row>
    <row r="109" spans="1:9" ht="22.5" customHeight="1" x14ac:dyDescent="0.15">
      <c r="D109" s="37"/>
      <c r="E109" s="112"/>
      <c r="F109" s="112"/>
      <c r="G109" s="112"/>
    </row>
    <row r="134" spans="1:8" ht="33.950000000000003" customHeight="1" x14ac:dyDescent="0.15">
      <c r="A134" s="248">
        <f>管理者用グラフシート!B87</f>
        <v>2020</v>
      </c>
      <c r="B134" s="248"/>
      <c r="C134" s="37" t="s">
        <v>326</v>
      </c>
      <c r="D134" s="36"/>
      <c r="F134" s="37"/>
      <c r="G134" s="111"/>
      <c r="H134" s="111"/>
    </row>
    <row r="135" spans="1:8" ht="22.5" customHeight="1" x14ac:dyDescent="0.15">
      <c r="A135" s="248">
        <f>管理者用グラフシート!B4</f>
        <v>2010</v>
      </c>
      <c r="B135" s="248"/>
      <c r="C135" s="20" t="s">
        <v>385</v>
      </c>
      <c r="D135" s="36"/>
      <c r="F135" s="205">
        <f>SUM(管理者用グラフシート!B93:C94)-SUM(管理者用グラフシート!B45:C46)</f>
        <v>-23</v>
      </c>
      <c r="G135" s="207" t="s">
        <v>386</v>
      </c>
      <c r="H135" s="111"/>
    </row>
    <row r="136" spans="1:8" ht="22.5" customHeight="1" x14ac:dyDescent="0.15">
      <c r="A136" s="35" t="s">
        <v>387</v>
      </c>
      <c r="C136" s="205">
        <f>SUM(管理者用グラフシート!B95:C96)-SUM(管理者用グラフシート!B47:C48)</f>
        <v>-11</v>
      </c>
      <c r="D136" s="20" t="s">
        <v>388</v>
      </c>
      <c r="E136" s="34"/>
      <c r="F136" s="205">
        <f>SUM(管理者用グラフシート!B97:C98)-SUM(管理者用グラフシート!B49:C50)</f>
        <v>-26</v>
      </c>
      <c r="G136" s="20" t="s">
        <v>386</v>
      </c>
    </row>
    <row r="137" spans="1:8" ht="18.75" x14ac:dyDescent="0.15">
      <c r="A137" s="20" t="s">
        <v>389</v>
      </c>
      <c r="C137" s="205">
        <f>SUM(管理者用グラフシート!B99:C100)-SUM(管理者用グラフシート!B51:C52)</f>
        <v>-39</v>
      </c>
      <c r="D137" s="20" t="s">
        <v>390</v>
      </c>
      <c r="E137" s="34"/>
      <c r="F137" s="35"/>
    </row>
    <row r="138" spans="1:8" ht="22.5" customHeight="1" x14ac:dyDescent="0.15">
      <c r="D138" s="37"/>
      <c r="E138" s="36"/>
      <c r="F138" s="36"/>
      <c r="G138" s="36"/>
    </row>
    <row r="139" spans="1:8" ht="22.5" customHeight="1" x14ac:dyDescent="0.15">
      <c r="D139" s="37"/>
      <c r="E139" s="112"/>
      <c r="F139" s="112"/>
      <c r="G139" s="112"/>
    </row>
  </sheetData>
  <mergeCells count="24">
    <mergeCell ref="D7:E7"/>
    <mergeCell ref="A104:B104"/>
    <mergeCell ref="A73:B73"/>
    <mergeCell ref="E2:I3"/>
    <mergeCell ref="B2:D3"/>
    <mergeCell ref="A7:B7"/>
    <mergeCell ref="G70:H70"/>
    <mergeCell ref="C71:D71"/>
    <mergeCell ref="G71:H71"/>
    <mergeCell ref="E74:G74"/>
    <mergeCell ref="E75:G75"/>
    <mergeCell ref="D72:E72"/>
    <mergeCell ref="C70:D70"/>
    <mergeCell ref="A6:B6"/>
    <mergeCell ref="E6:F6"/>
    <mergeCell ref="D41:E41"/>
    <mergeCell ref="A8:B8"/>
    <mergeCell ref="A134:B134"/>
    <mergeCell ref="A135:B135"/>
    <mergeCell ref="F36:G36"/>
    <mergeCell ref="F37:G37"/>
    <mergeCell ref="D40:E40"/>
    <mergeCell ref="D38:E38"/>
    <mergeCell ref="A39:B39"/>
  </mergeCells>
  <phoneticPr fontId="2"/>
  <printOptions horizontalCentered="1"/>
  <pageMargins left="0.70866141732283472" right="0.70866141732283472" top="0.74803149606299213" bottom="0.74803149606299213" header="0.31496062992125984" footer="0.31496062992125984"/>
  <pageSetup paperSize="9" scale="90" firstPageNumber="2" orientation="portrait" useFirstPageNumber="1" r:id="rId1"/>
  <headerFooter>
    <oddHeader>&amp;L&amp;"HG丸ｺﾞｼｯｸM-PRO,標準"&amp;16【&amp;A】</oddHeader>
    <oddFooter>&amp;C&amp;"HG丸ｺﾞｼｯｸM-PRO,標準"&amp;16 &amp;P</oddFooter>
  </headerFooter>
  <rowBreaks count="4" manualBreakCount="4">
    <brk id="34" max="8" man="1"/>
    <brk id="68" max="8" man="1"/>
    <brk id="102" max="8" man="1"/>
    <brk id="133" max="8"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04"/>
  <sheetViews>
    <sheetView zoomScale="85" zoomScaleNormal="85" workbookViewId="0"/>
  </sheetViews>
  <sheetFormatPr defaultColWidth="9" defaultRowHeight="22.5" customHeight="1" x14ac:dyDescent="0.15"/>
  <cols>
    <col min="1" max="1" width="9" style="20" customWidth="1"/>
    <col min="2" max="2" width="9" style="20"/>
    <col min="3" max="3" width="12.375" style="20" customWidth="1"/>
    <col min="4" max="4" width="9" style="20" customWidth="1"/>
    <col min="5" max="5" width="10" style="20" customWidth="1"/>
    <col min="6" max="8" width="9" style="20"/>
    <col min="9" max="9" width="10.5" style="20" customWidth="1"/>
    <col min="10" max="16384" width="9" style="20"/>
  </cols>
  <sheetData>
    <row r="1" spans="1:9" ht="22.5" customHeight="1" x14ac:dyDescent="0.15">
      <c r="A1" s="20" t="s">
        <v>229</v>
      </c>
    </row>
    <row r="2" spans="1:9" ht="22.5" customHeight="1" x14ac:dyDescent="0.15">
      <c r="A2" s="253" t="str">
        <f>管理者入力シート!B4</f>
        <v>中堂四枝上畑地域</v>
      </c>
      <c r="B2" s="253"/>
      <c r="C2" s="253"/>
      <c r="D2" s="252" t="s">
        <v>230</v>
      </c>
      <c r="E2" s="252"/>
      <c r="F2" s="252"/>
      <c r="G2" s="252"/>
      <c r="H2" s="252"/>
      <c r="I2" s="252"/>
    </row>
    <row r="3" spans="1:9" ht="27.75" customHeight="1" x14ac:dyDescent="0.15">
      <c r="A3" s="253"/>
      <c r="B3" s="253"/>
      <c r="C3" s="253"/>
      <c r="D3" s="252"/>
      <c r="E3" s="252"/>
      <c r="F3" s="252"/>
      <c r="G3" s="252"/>
      <c r="H3" s="252"/>
      <c r="I3" s="252"/>
    </row>
    <row r="4" spans="1:9" ht="27.75" customHeight="1" x14ac:dyDescent="0.15"/>
    <row r="5" spans="1:9" s="39" customFormat="1" ht="40.5" customHeight="1" x14ac:dyDescent="0.15">
      <c r="A5" s="108" t="s">
        <v>64</v>
      </c>
    </row>
    <row r="6" spans="1:9" ht="22.5" customHeight="1" x14ac:dyDescent="0.15">
      <c r="A6" s="248">
        <f>管理者入力シート!B9</f>
        <v>2030</v>
      </c>
      <c r="B6" s="248"/>
      <c r="C6" s="20" t="s">
        <v>361</v>
      </c>
      <c r="D6" s="249">
        <f>管理者用グラフシート!K8</f>
        <v>562</v>
      </c>
      <c r="E6" s="249"/>
      <c r="F6" s="20" t="s">
        <v>231</v>
      </c>
      <c r="H6" s="34"/>
      <c r="I6" s="34"/>
    </row>
    <row r="7" spans="1:9" ht="22.5" customHeight="1" x14ac:dyDescent="0.15">
      <c r="A7" s="248">
        <f>管理者入力シート!B5</f>
        <v>2020</v>
      </c>
      <c r="B7" s="248"/>
      <c r="C7" s="195" t="s">
        <v>362</v>
      </c>
      <c r="D7" s="250">
        <f>D6-現況シート!E6</f>
        <v>-134</v>
      </c>
      <c r="E7" s="250"/>
      <c r="F7" s="20" t="s">
        <v>232</v>
      </c>
      <c r="I7" s="34"/>
    </row>
    <row r="8" spans="1:9" ht="22.5" customHeight="1" x14ac:dyDescent="0.15">
      <c r="A8" s="247" t="s">
        <v>397</v>
      </c>
      <c r="B8" s="247"/>
      <c r="C8" s="205">
        <f>管理者用グラフシート!I8-管理者用グラフシート!C6</f>
        <v>-73</v>
      </c>
      <c r="D8" s="206" t="s">
        <v>398</v>
      </c>
      <c r="F8" s="260">
        <f>管理者用グラフシート!J8-管理者用グラフシート!D6</f>
        <v>-61</v>
      </c>
      <c r="G8" s="260"/>
      <c r="H8" s="20" t="s">
        <v>399</v>
      </c>
    </row>
    <row r="10" spans="1:9" ht="22.5" customHeight="1" x14ac:dyDescent="0.15">
      <c r="A10" s="248">
        <f>管理者入力シート!B11</f>
        <v>2040</v>
      </c>
      <c r="B10" s="248"/>
      <c r="C10" s="20" t="s">
        <v>361</v>
      </c>
      <c r="D10" s="249">
        <f>管理者用グラフシート!K10</f>
        <v>435</v>
      </c>
      <c r="E10" s="249"/>
      <c r="F10" s="20" t="s">
        <v>231</v>
      </c>
      <c r="H10" s="34"/>
    </row>
    <row r="11" spans="1:9" ht="22.5" customHeight="1" x14ac:dyDescent="0.15">
      <c r="A11" s="248">
        <f>管理者入力シート!B5</f>
        <v>2020</v>
      </c>
      <c r="B11" s="248"/>
      <c r="C11" s="195" t="s">
        <v>362</v>
      </c>
      <c r="D11" s="250">
        <f>D10-現況シート!E6</f>
        <v>-261</v>
      </c>
      <c r="E11" s="250"/>
      <c r="F11" s="20" t="s">
        <v>232</v>
      </c>
      <c r="H11" s="34"/>
    </row>
    <row r="12" spans="1:9" ht="22.5" customHeight="1" x14ac:dyDescent="0.15">
      <c r="A12" s="247" t="s">
        <v>397</v>
      </c>
      <c r="B12" s="247"/>
      <c r="C12" s="205">
        <f>管理者用グラフシート!I10-管理者用グラフシート!C6</f>
        <v>-142</v>
      </c>
      <c r="D12" s="206" t="s">
        <v>398</v>
      </c>
      <c r="F12" s="260">
        <f>管理者用グラフシート!J10-管理者用グラフシート!D6</f>
        <v>-119</v>
      </c>
      <c r="G12" s="260"/>
      <c r="H12" s="20" t="s">
        <v>399</v>
      </c>
    </row>
    <row r="22" spans="7:7" ht="22.5" customHeight="1" x14ac:dyDescent="0.15">
      <c r="G22" s="20">
        <v>15</v>
      </c>
    </row>
    <row r="34" spans="1:9" s="39" customFormat="1" ht="40.5" customHeight="1" x14ac:dyDescent="0.15">
      <c r="A34" s="108" t="s">
        <v>68</v>
      </c>
    </row>
    <row r="35" spans="1:9" ht="22.5" customHeight="1" x14ac:dyDescent="0.15">
      <c r="A35" s="248">
        <f>管理者用グラフシート!H20</f>
        <v>2040</v>
      </c>
      <c r="B35" s="248"/>
      <c r="C35" s="257" t="s">
        <v>363</v>
      </c>
      <c r="D35" s="257"/>
      <c r="F35" s="36"/>
      <c r="G35" s="36"/>
      <c r="H35" s="256"/>
      <c r="I35" s="251"/>
    </row>
    <row r="36" spans="1:9" ht="22.5" customHeight="1" x14ac:dyDescent="0.15">
      <c r="A36" s="20" t="s">
        <v>237</v>
      </c>
      <c r="F36" s="249">
        <f>管理者用グラフシート!I20</f>
        <v>21</v>
      </c>
      <c r="G36" s="249"/>
      <c r="H36" s="82" t="s">
        <v>233</v>
      </c>
      <c r="I36" s="34"/>
    </row>
    <row r="37" spans="1:9" ht="22.5" customHeight="1" x14ac:dyDescent="0.15">
      <c r="A37" s="20" t="s">
        <v>234</v>
      </c>
      <c r="F37" s="249">
        <f>管理者用グラフシート!I28</f>
        <v>10</v>
      </c>
      <c r="G37" s="249"/>
      <c r="H37" s="109" t="s">
        <v>235</v>
      </c>
      <c r="I37" s="86"/>
    </row>
    <row r="38" spans="1:9" ht="22.5" customHeight="1" x14ac:dyDescent="0.15">
      <c r="D38" s="251"/>
      <c r="E38" s="251"/>
      <c r="F38" s="35"/>
      <c r="G38" s="34"/>
      <c r="H38" s="20" t="s">
        <v>236</v>
      </c>
    </row>
    <row r="39" spans="1:9" ht="22.5" customHeight="1" x14ac:dyDescent="0.15">
      <c r="D39" s="86"/>
      <c r="E39" s="86"/>
      <c r="F39" s="35"/>
      <c r="G39" s="34"/>
    </row>
    <row r="40" spans="1:9" ht="22.5" customHeight="1" x14ac:dyDescent="0.15">
      <c r="A40" s="20" t="s">
        <v>67</v>
      </c>
      <c r="C40" s="199">
        <f>管理者入力シート!B5</f>
        <v>2020</v>
      </c>
      <c r="D40" s="195" t="s">
        <v>373</v>
      </c>
      <c r="F40" s="250">
        <f>F36-現況シート!F36</f>
        <v>-15</v>
      </c>
      <c r="G40" s="250"/>
      <c r="H40" s="35" t="s">
        <v>60</v>
      </c>
    </row>
    <row r="41" spans="1:9" ht="22.5" customHeight="1" x14ac:dyDescent="0.15">
      <c r="A41" s="20" t="s">
        <v>69</v>
      </c>
      <c r="C41" s="199">
        <f>管理者入力シート!B5</f>
        <v>2020</v>
      </c>
      <c r="D41" s="20" t="s">
        <v>374</v>
      </c>
      <c r="F41" s="250">
        <f>F37-現況シート!F37</f>
        <v>-6</v>
      </c>
      <c r="G41" s="250"/>
      <c r="H41" s="35" t="s">
        <v>59</v>
      </c>
    </row>
    <row r="42" spans="1:9" ht="22.5" customHeight="1" x14ac:dyDescent="0.15">
      <c r="D42" s="37"/>
      <c r="E42" s="37"/>
      <c r="G42" s="35"/>
      <c r="H42" s="35"/>
      <c r="I42" s="194" t="s">
        <v>375</v>
      </c>
    </row>
    <row r="68" spans="1:9" s="39" customFormat="1" ht="44.25" customHeight="1" x14ac:dyDescent="0.15">
      <c r="A68" s="108" t="s">
        <v>74</v>
      </c>
    </row>
    <row r="69" spans="1:9" ht="22.5" customHeight="1" x14ac:dyDescent="0.15">
      <c r="A69" s="248">
        <f>管理者用グラフシート!H38</f>
        <v>2040</v>
      </c>
      <c r="B69" s="248"/>
      <c r="C69" s="257" t="s">
        <v>363</v>
      </c>
      <c r="D69" s="257"/>
      <c r="F69" s="34"/>
      <c r="G69" s="37"/>
      <c r="H69" s="67"/>
      <c r="I69" s="71"/>
    </row>
    <row r="70" spans="1:9" ht="22.5" customHeight="1" x14ac:dyDescent="0.15">
      <c r="A70" s="20" t="s">
        <v>238</v>
      </c>
      <c r="C70" s="249">
        <f>管理者用グラフシート!I38</f>
        <v>227</v>
      </c>
      <c r="D70" s="249"/>
      <c r="E70" s="82" t="s">
        <v>239</v>
      </c>
      <c r="F70" s="34"/>
      <c r="G70" s="254">
        <f>管理者用グラフシート!I56</f>
        <v>0.52</v>
      </c>
      <c r="H70" s="254"/>
      <c r="I70" s="110" t="s">
        <v>240</v>
      </c>
    </row>
    <row r="71" spans="1:9" ht="22.5" customHeight="1" x14ac:dyDescent="0.15">
      <c r="A71" s="20" t="s">
        <v>241</v>
      </c>
      <c r="C71" s="249">
        <f>管理者用グラフシート!I46</f>
        <v>137</v>
      </c>
      <c r="D71" s="249"/>
      <c r="E71" s="20" t="s">
        <v>239</v>
      </c>
      <c r="G71" s="258">
        <f>管理者用グラフシート!I64</f>
        <v>0.31</v>
      </c>
      <c r="H71" s="251"/>
      <c r="I71" s="20" t="s">
        <v>242</v>
      </c>
    </row>
    <row r="72" spans="1:9" ht="27.75" customHeight="1" x14ac:dyDescent="0.15">
      <c r="C72" s="81"/>
      <c r="D72" s="81"/>
      <c r="G72" s="259" t="s">
        <v>236</v>
      </c>
      <c r="H72" s="259"/>
      <c r="I72" s="259"/>
    </row>
    <row r="73" spans="1:9" ht="22.5" customHeight="1" x14ac:dyDescent="0.15">
      <c r="A73" s="248">
        <f>管理者入力シート!B5</f>
        <v>2020</v>
      </c>
      <c r="B73" s="248"/>
      <c r="C73" s="20" t="s">
        <v>228</v>
      </c>
      <c r="D73" s="34"/>
      <c r="E73" s="34"/>
      <c r="F73" s="35"/>
    </row>
    <row r="74" spans="1:9" ht="22.5" customHeight="1" x14ac:dyDescent="0.15">
      <c r="B74" s="20" t="s">
        <v>81</v>
      </c>
      <c r="D74" s="37"/>
      <c r="E74" s="249" t="str">
        <f>IF((管理者用グラフシート!I56-管理者用グラフシート!I52)&gt;0.01,ABS(ROUND(管理者用グラフシート!I56-管理者用グラフシート!I52,2)*100)&amp;"ポイント上昇",IF((管理者用グラフシート!I56-管理者用グラフシート!I52)&lt;-0.01,ABS(ROUND(管理者用グラフシート!I56-管理者用グラフシート!I52,2)*100)&amp;"ポイント低下","ほぼ横ばい"))</f>
        <v>10ポイント上昇</v>
      </c>
      <c r="F74" s="249"/>
      <c r="G74" s="249"/>
      <c r="H74" s="20" t="s">
        <v>82</v>
      </c>
    </row>
    <row r="75" spans="1:9" ht="22.5" customHeight="1" x14ac:dyDescent="0.15">
      <c r="B75" s="20" t="s">
        <v>83</v>
      </c>
      <c r="D75" s="37"/>
      <c r="E75" s="255" t="str">
        <f>IF((管理者用グラフシート!I64-管理者用グラフシート!I60)&gt;0.01,ABS(ROUND(管理者用グラフシート!I64-管理者用グラフシート!I60,2)*100)&amp;"ポイント上昇",IF((管理者用グラフシート!I64-管理者用グラフシート!I60)&lt;-0.01,ABS(ROUND(管理者用グラフシート!I64-管理者用グラフシート!I60,2)*100)&amp;"ポイント低下","ほぼ横ばい"))</f>
        <v>9ポイント上昇</v>
      </c>
      <c r="F75" s="255"/>
      <c r="G75" s="255"/>
      <c r="H75" s="20" t="s">
        <v>77</v>
      </c>
    </row>
    <row r="101" spans="1:8" s="39" customFormat="1" ht="40.5" customHeight="1" x14ac:dyDescent="0.15">
      <c r="A101" s="108" t="s">
        <v>112</v>
      </c>
    </row>
    <row r="102" spans="1:8" ht="22.5" customHeight="1" x14ac:dyDescent="0.15">
      <c r="A102" s="248">
        <f>管理者用グラフシート!H91</f>
        <v>2030</v>
      </c>
      <c r="B102" s="248"/>
      <c r="C102" s="20" t="s">
        <v>364</v>
      </c>
      <c r="D102" s="196"/>
    </row>
    <row r="103" spans="1:8" ht="27.75" customHeight="1" x14ac:dyDescent="0.15">
      <c r="A103" s="248">
        <f>管理者入力シート!B5</f>
        <v>2020</v>
      </c>
      <c r="B103" s="248"/>
      <c r="C103" s="20" t="s">
        <v>385</v>
      </c>
      <c r="D103" s="36"/>
      <c r="G103" s="205">
        <f>SUM(管理者用グラフシート!H97:I98)-SUM(管理者用グラフシート!B93:C94)</f>
        <v>-7</v>
      </c>
      <c r="H103" s="207" t="s">
        <v>60</v>
      </c>
    </row>
    <row r="104" spans="1:8" ht="22.5" customHeight="1" x14ac:dyDescent="0.15">
      <c r="A104" s="35" t="s">
        <v>387</v>
      </c>
      <c r="C104" s="205">
        <f>SUM(管理者用グラフシート!H99:I100)-SUM(管理者用グラフシート!B95:C96)</f>
        <v>-19</v>
      </c>
      <c r="D104" s="20" t="s">
        <v>423</v>
      </c>
      <c r="E104" s="34"/>
      <c r="G104" s="205">
        <f>SUM(管理者用グラフシート!H101:I102)-SUM(管理者用グラフシート!B97:C98)</f>
        <v>-22</v>
      </c>
      <c r="H104" s="20" t="s">
        <v>60</v>
      </c>
    </row>
    <row r="105" spans="1:8" ht="22.5" customHeight="1" x14ac:dyDescent="0.15">
      <c r="A105" s="20" t="s">
        <v>389</v>
      </c>
      <c r="C105" s="205">
        <f>SUM(管理者用グラフシート!H103:I104)-SUM(管理者用グラフシート!B99:C100)</f>
        <v>-24</v>
      </c>
      <c r="D105" s="20" t="s">
        <v>70</v>
      </c>
      <c r="E105" s="34"/>
      <c r="F105" s="35"/>
    </row>
    <row r="136" spans="1:8" ht="22.5" customHeight="1" x14ac:dyDescent="0.15">
      <c r="A136" s="248">
        <f>管理者用グラフシート!H139</f>
        <v>2040</v>
      </c>
      <c r="B136" s="248"/>
      <c r="C136" s="20" t="s">
        <v>364</v>
      </c>
    </row>
    <row r="137" spans="1:8" ht="22.5" customHeight="1" x14ac:dyDescent="0.15">
      <c r="A137" s="248">
        <f>管理者入力シート!B5</f>
        <v>2020</v>
      </c>
      <c r="B137" s="248"/>
      <c r="C137" s="20" t="s">
        <v>385</v>
      </c>
      <c r="D137" s="36"/>
      <c r="G137" s="205">
        <f>SUM(管理者用グラフシート!H145:I146)-SUM(管理者用グラフシート!B93:C94)</f>
        <v>-8</v>
      </c>
      <c r="H137" s="207" t="s">
        <v>60</v>
      </c>
    </row>
    <row r="138" spans="1:8" ht="22.5" customHeight="1" x14ac:dyDescent="0.15">
      <c r="A138" s="35" t="s">
        <v>387</v>
      </c>
      <c r="C138" s="205">
        <f>SUM(管理者用グラフシート!H147:I148)-SUM(管理者用グラフシート!B95:C96)</f>
        <v>-25</v>
      </c>
      <c r="D138" s="20" t="s">
        <v>423</v>
      </c>
      <c r="E138" s="34"/>
      <c r="G138" s="205">
        <f>SUM(管理者用グラフシート!H149:I150)-SUM(管理者用グラフシート!B97:C98)</f>
        <v>-44</v>
      </c>
      <c r="H138" s="20" t="s">
        <v>60</v>
      </c>
    </row>
    <row r="139" spans="1:8" ht="22.5" customHeight="1" x14ac:dyDescent="0.15">
      <c r="A139" s="20" t="s">
        <v>389</v>
      </c>
      <c r="C139" s="205">
        <f>SUM(管理者用グラフシート!H151:I152)-SUM(管理者用グラフシート!B99:C100)</f>
        <v>-45</v>
      </c>
      <c r="D139" s="20" t="s">
        <v>70</v>
      </c>
      <c r="E139" s="34"/>
      <c r="F139" s="35"/>
    </row>
    <row r="169" spans="1:9" ht="22.5" customHeight="1" thickBot="1" x14ac:dyDescent="0.2"/>
    <row r="170" spans="1:9" ht="22.5" customHeight="1" x14ac:dyDescent="0.15">
      <c r="A170" s="89" t="s">
        <v>372</v>
      </c>
      <c r="B170" s="90"/>
      <c r="C170" s="90"/>
      <c r="D170" s="90"/>
      <c r="E170" s="90"/>
      <c r="F170" s="90"/>
      <c r="G170" s="90"/>
      <c r="H170" s="90"/>
      <c r="I170" s="91"/>
    </row>
    <row r="171" spans="1:9" ht="22.5" customHeight="1" x14ac:dyDescent="0.15">
      <c r="A171" s="92" t="s">
        <v>246</v>
      </c>
      <c r="I171" s="93"/>
    </row>
    <row r="172" spans="1:9" ht="22.5" customHeight="1" x14ac:dyDescent="0.15">
      <c r="A172" s="92"/>
      <c r="I172" s="93"/>
    </row>
    <row r="173" spans="1:9" ht="22.5" customHeight="1" x14ac:dyDescent="0.15">
      <c r="A173" s="102" t="s">
        <v>247</v>
      </c>
      <c r="I173" s="93"/>
    </row>
    <row r="174" spans="1:9" ht="22.5" customHeight="1" x14ac:dyDescent="0.15">
      <c r="A174" s="100" t="s">
        <v>343</v>
      </c>
      <c r="B174" s="84" t="s">
        <v>342</v>
      </c>
      <c r="I174" s="93"/>
    </row>
    <row r="175" spans="1:9" ht="22.5" customHeight="1" x14ac:dyDescent="0.15">
      <c r="A175" s="102"/>
      <c r="B175" s="84" t="s">
        <v>341</v>
      </c>
      <c r="I175" s="93"/>
    </row>
    <row r="176" spans="1:9" ht="22.5" customHeight="1" x14ac:dyDescent="0.15">
      <c r="A176" s="92"/>
      <c r="B176" s="84" t="s">
        <v>355</v>
      </c>
      <c r="I176" s="93"/>
    </row>
    <row r="177" spans="1:9" ht="22.5" customHeight="1" x14ac:dyDescent="0.15">
      <c r="A177" s="100"/>
      <c r="B177" s="84"/>
      <c r="I177" s="93"/>
    </row>
    <row r="178" spans="1:9" ht="22.5" customHeight="1" x14ac:dyDescent="0.15">
      <c r="A178" s="100" t="s">
        <v>344</v>
      </c>
      <c r="B178" s="84" t="s">
        <v>345</v>
      </c>
      <c r="I178" s="93"/>
    </row>
    <row r="179" spans="1:9" ht="22.5" customHeight="1" x14ac:dyDescent="0.15">
      <c r="A179" s="100"/>
      <c r="B179" s="84"/>
      <c r="I179" s="93"/>
    </row>
    <row r="180" spans="1:9" ht="22.5" customHeight="1" x14ac:dyDescent="0.15">
      <c r="A180" s="100" t="s">
        <v>346</v>
      </c>
      <c r="B180" s="84" t="s">
        <v>347</v>
      </c>
      <c r="I180" s="93"/>
    </row>
    <row r="181" spans="1:9" ht="22.5" customHeight="1" x14ac:dyDescent="0.15">
      <c r="A181" s="100"/>
      <c r="B181" s="84"/>
      <c r="I181" s="93"/>
    </row>
    <row r="182" spans="1:9" ht="22.5" customHeight="1" x14ac:dyDescent="0.15">
      <c r="A182" s="100" t="s">
        <v>348</v>
      </c>
      <c r="B182" s="84" t="s">
        <v>349</v>
      </c>
      <c r="I182" s="93"/>
    </row>
    <row r="183" spans="1:9" ht="22.5" customHeight="1" x14ac:dyDescent="0.15">
      <c r="A183" s="92"/>
      <c r="B183" s="84" t="s">
        <v>350</v>
      </c>
      <c r="I183" s="93"/>
    </row>
    <row r="184" spans="1:9" ht="22.5" customHeight="1" x14ac:dyDescent="0.15">
      <c r="A184" s="100"/>
      <c r="B184" s="84"/>
      <c r="I184" s="93"/>
    </row>
    <row r="185" spans="1:9" ht="22.5" customHeight="1" x14ac:dyDescent="0.15">
      <c r="A185" s="100" t="s">
        <v>351</v>
      </c>
      <c r="B185" s="84" t="s">
        <v>352</v>
      </c>
      <c r="I185" s="93"/>
    </row>
    <row r="186" spans="1:9" ht="22.5" customHeight="1" x14ac:dyDescent="0.15">
      <c r="A186" s="92"/>
      <c r="B186" s="84" t="s">
        <v>353</v>
      </c>
      <c r="I186" s="93"/>
    </row>
    <row r="187" spans="1:9" ht="22.5" customHeight="1" x14ac:dyDescent="0.15">
      <c r="A187" s="92"/>
      <c r="I187" s="93"/>
    </row>
    <row r="188" spans="1:9" ht="22.5" customHeight="1" x14ac:dyDescent="0.15">
      <c r="A188" s="92"/>
      <c r="I188" s="93"/>
    </row>
    <row r="189" spans="1:9" ht="22.5" customHeight="1" x14ac:dyDescent="0.15">
      <c r="A189" s="92"/>
      <c r="I189" s="93"/>
    </row>
    <row r="190" spans="1:9" ht="22.5" customHeight="1" x14ac:dyDescent="0.15">
      <c r="A190" s="92"/>
      <c r="I190" s="93"/>
    </row>
    <row r="191" spans="1:9" ht="22.5" customHeight="1" x14ac:dyDescent="0.15">
      <c r="A191" s="92"/>
      <c r="I191" s="93"/>
    </row>
    <row r="192" spans="1:9" ht="22.5" customHeight="1" x14ac:dyDescent="0.15">
      <c r="A192" s="92"/>
      <c r="I192" s="93"/>
    </row>
    <row r="193" spans="1:9" ht="22.5" customHeight="1" x14ac:dyDescent="0.15">
      <c r="A193" s="92"/>
      <c r="I193" s="93"/>
    </row>
    <row r="194" spans="1:9" ht="22.5" customHeight="1" x14ac:dyDescent="0.15">
      <c r="A194" s="92"/>
      <c r="I194" s="93"/>
    </row>
    <row r="195" spans="1:9" ht="22.5" customHeight="1" x14ac:dyDescent="0.15">
      <c r="A195" s="92"/>
      <c r="I195" s="93"/>
    </row>
    <row r="196" spans="1:9" ht="22.5" customHeight="1" x14ac:dyDescent="0.15">
      <c r="A196" s="92"/>
      <c r="I196" s="93"/>
    </row>
    <row r="197" spans="1:9" ht="22.5" customHeight="1" x14ac:dyDescent="0.15">
      <c r="A197" s="92"/>
      <c r="I197" s="93"/>
    </row>
    <row r="198" spans="1:9" ht="22.5" customHeight="1" x14ac:dyDescent="0.15">
      <c r="A198" s="92"/>
      <c r="I198" s="93"/>
    </row>
    <row r="199" spans="1:9" ht="22.5" customHeight="1" x14ac:dyDescent="0.15">
      <c r="A199" s="92"/>
      <c r="I199" s="93"/>
    </row>
    <row r="200" spans="1:9" ht="22.5" customHeight="1" x14ac:dyDescent="0.15">
      <c r="A200" s="92"/>
      <c r="I200" s="93"/>
    </row>
    <row r="201" spans="1:9" ht="22.5" customHeight="1" x14ac:dyDescent="0.15">
      <c r="A201" s="92"/>
      <c r="I201" s="93"/>
    </row>
    <row r="202" spans="1:9" ht="22.5" customHeight="1" x14ac:dyDescent="0.15">
      <c r="A202" s="92"/>
      <c r="I202" s="93"/>
    </row>
    <row r="203" spans="1:9" ht="22.5" customHeight="1" x14ac:dyDescent="0.15">
      <c r="A203" s="92"/>
      <c r="I203" s="93"/>
    </row>
    <row r="204" spans="1:9" ht="22.5" customHeight="1" thickBot="1" x14ac:dyDescent="0.2">
      <c r="A204" s="94"/>
      <c r="B204" s="95"/>
      <c r="C204" s="95"/>
      <c r="D204" s="95"/>
      <c r="E204" s="95"/>
      <c r="F204" s="95"/>
      <c r="G204" s="95"/>
      <c r="H204" s="95"/>
      <c r="I204" s="96"/>
    </row>
  </sheetData>
  <mergeCells count="36">
    <mergeCell ref="G70:H70"/>
    <mergeCell ref="F36:G36"/>
    <mergeCell ref="F37:G37"/>
    <mergeCell ref="F40:G40"/>
    <mergeCell ref="D2:I3"/>
    <mergeCell ref="F12:G12"/>
    <mergeCell ref="H35:I35"/>
    <mergeCell ref="F8:G8"/>
    <mergeCell ref="A2:C3"/>
    <mergeCell ref="D38:E38"/>
    <mergeCell ref="A6:B6"/>
    <mergeCell ref="A10:B10"/>
    <mergeCell ref="A7:B7"/>
    <mergeCell ref="D6:E6"/>
    <mergeCell ref="D10:E10"/>
    <mergeCell ref="D7:E7"/>
    <mergeCell ref="A12:B12"/>
    <mergeCell ref="A8:B8"/>
    <mergeCell ref="A11:B11"/>
    <mergeCell ref="D11:E11"/>
    <mergeCell ref="A137:B137"/>
    <mergeCell ref="A103:B103"/>
    <mergeCell ref="C35:D35"/>
    <mergeCell ref="C69:D69"/>
    <mergeCell ref="F41:G41"/>
    <mergeCell ref="A69:B69"/>
    <mergeCell ref="C71:D71"/>
    <mergeCell ref="A73:B73"/>
    <mergeCell ref="G71:H71"/>
    <mergeCell ref="G72:I72"/>
    <mergeCell ref="A136:B136"/>
    <mergeCell ref="C70:D70"/>
    <mergeCell ref="E74:G74"/>
    <mergeCell ref="E75:G75"/>
    <mergeCell ref="A102:B102"/>
    <mergeCell ref="A35:B35"/>
  </mergeCells>
  <phoneticPr fontId="2"/>
  <printOptions horizontalCentered="1"/>
  <pageMargins left="0.70866141732283472" right="0.70866141732283472" top="0.74803149606299213" bottom="0.74803149606299213" header="0.31496062992125984" footer="0.31496062992125984"/>
  <pageSetup paperSize="9" scale="90" firstPageNumber="7" fitToHeight="0" orientation="portrait" useFirstPageNumber="1" r:id="rId1"/>
  <headerFooter>
    <oddHeader>&amp;L&amp;"HG丸ｺﾞｼｯｸM-PRO,標準"&amp;16【&amp;A】</oddHeader>
    <oddFooter>&amp;C&amp;"HG丸ｺﾞｼｯｸM-PRO,標準"&amp;16 &amp;P</oddFooter>
  </headerFooter>
  <rowBreaks count="5" manualBreakCount="5">
    <brk id="33" max="8" man="1"/>
    <brk id="67" max="8" man="1"/>
    <brk id="100" max="8" man="1"/>
    <brk id="135" max="8" man="1"/>
    <brk id="169" max="8"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14"/>
  <sheetViews>
    <sheetView zoomScale="85" zoomScaleNormal="85" zoomScaleSheetLayoutView="85" workbookViewId="0"/>
  </sheetViews>
  <sheetFormatPr defaultColWidth="9" defaultRowHeight="22.5" customHeight="1" x14ac:dyDescent="0.15"/>
  <cols>
    <col min="1" max="1" width="10" style="20" customWidth="1"/>
    <col min="2" max="2" width="9.125" style="20" customWidth="1"/>
    <col min="3" max="3" width="10" style="20" customWidth="1"/>
    <col min="4" max="4" width="9" style="20" customWidth="1"/>
    <col min="5" max="5" width="10" style="20" bestFit="1" customWidth="1"/>
    <col min="6" max="8" width="10" style="20" customWidth="1"/>
    <col min="9" max="9" width="10.875" style="20" customWidth="1"/>
    <col min="10" max="16384" width="9" style="20"/>
  </cols>
  <sheetData>
    <row r="1" spans="1:9" ht="22.5" customHeight="1" x14ac:dyDescent="0.15">
      <c r="A1" s="20" t="s">
        <v>251</v>
      </c>
    </row>
    <row r="2" spans="1:9" ht="31.5" customHeight="1" x14ac:dyDescent="0.15">
      <c r="A2" s="272" t="str">
        <f>管理者入力シート!B4</f>
        <v>中堂四枝上畑地域</v>
      </c>
      <c r="B2" s="272"/>
      <c r="C2" s="272"/>
      <c r="D2" s="252" t="s">
        <v>249</v>
      </c>
      <c r="E2" s="252"/>
      <c r="F2" s="252"/>
      <c r="G2" s="252"/>
      <c r="H2" s="252"/>
      <c r="I2" s="252"/>
    </row>
    <row r="3" spans="1:9" ht="31.5" customHeight="1" x14ac:dyDescent="0.15">
      <c r="A3" s="272"/>
      <c r="B3" s="272"/>
      <c r="C3" s="272"/>
      <c r="D3" s="252"/>
      <c r="E3" s="252"/>
      <c r="F3" s="252"/>
      <c r="G3" s="252"/>
      <c r="H3" s="252"/>
      <c r="I3" s="252"/>
    </row>
    <row r="4" spans="1:9" ht="9.75" customHeight="1" x14ac:dyDescent="0.15"/>
    <row r="5" spans="1:9" s="113" customFormat="1" ht="40.5" customHeight="1" x14ac:dyDescent="0.15">
      <c r="A5" s="108" t="s">
        <v>250</v>
      </c>
      <c r="I5" s="114"/>
    </row>
    <row r="6" spans="1:9" ht="18.75" x14ac:dyDescent="0.15">
      <c r="A6" s="20" t="s">
        <v>252</v>
      </c>
    </row>
    <row r="7" spans="1:9" ht="13.5" customHeight="1" x14ac:dyDescent="0.15"/>
    <row r="8" spans="1:9" s="83" customFormat="1" ht="18" customHeight="1" x14ac:dyDescent="0.15">
      <c r="A8" s="117" t="s">
        <v>255</v>
      </c>
    </row>
    <row r="9" spans="1:9" s="83" customFormat="1" ht="19.5" customHeight="1" x14ac:dyDescent="0.15">
      <c r="A9" s="117" t="s">
        <v>256</v>
      </c>
    </row>
    <row r="10" spans="1:9" s="83" customFormat="1" ht="19.5" customHeight="1" x14ac:dyDescent="0.15">
      <c r="A10" s="83" t="s">
        <v>253</v>
      </c>
    </row>
    <row r="11" spans="1:9" s="83" customFormat="1" ht="19.5" customHeight="1" x14ac:dyDescent="0.15">
      <c r="A11" s="83" t="s">
        <v>124</v>
      </c>
    </row>
    <row r="12" spans="1:9" s="83" customFormat="1" ht="19.5" customHeight="1" x14ac:dyDescent="0.15">
      <c r="A12" s="83" t="s">
        <v>125</v>
      </c>
    </row>
    <row r="13" spans="1:9" s="83" customFormat="1" ht="19.5" customHeight="1" x14ac:dyDescent="0.15">
      <c r="A13" s="83" t="s">
        <v>126</v>
      </c>
    </row>
    <row r="14" spans="1:9" s="83" customFormat="1" ht="18" customHeight="1" thickBot="1" x14ac:dyDescent="0.2"/>
    <row r="15" spans="1:9" s="83" customFormat="1" ht="17.25" customHeight="1" thickTop="1" x14ac:dyDescent="0.15">
      <c r="A15" s="276" t="s">
        <v>254</v>
      </c>
      <c r="B15" s="276"/>
      <c r="C15" s="276"/>
      <c r="D15" s="277" t="s">
        <v>258</v>
      </c>
      <c r="E15" s="278"/>
      <c r="F15" s="273" t="s">
        <v>257</v>
      </c>
      <c r="G15" s="274"/>
      <c r="H15" s="275"/>
    </row>
    <row r="16" spans="1:9" ht="17.25" customHeight="1" x14ac:dyDescent="0.15">
      <c r="A16" s="124" t="s">
        <v>254</v>
      </c>
      <c r="B16" s="124" t="s">
        <v>21</v>
      </c>
      <c r="C16" s="124" t="s">
        <v>22</v>
      </c>
      <c r="D16" s="277"/>
      <c r="E16" s="278"/>
      <c r="F16" s="126"/>
      <c r="G16" s="127" t="s">
        <v>21</v>
      </c>
      <c r="H16" s="128" t="s">
        <v>22</v>
      </c>
    </row>
    <row r="17" spans="1:9" ht="18.75" customHeight="1" x14ac:dyDescent="0.15">
      <c r="A17" s="125" t="s">
        <v>0</v>
      </c>
      <c r="B17" s="116">
        <v>1</v>
      </c>
      <c r="C17" s="116">
        <v>1</v>
      </c>
      <c r="D17" s="277"/>
      <c r="E17" s="278"/>
      <c r="F17" s="119" t="s">
        <v>0</v>
      </c>
      <c r="G17" s="116">
        <v>1</v>
      </c>
      <c r="H17" s="118">
        <v>1</v>
      </c>
    </row>
    <row r="18" spans="1:9" ht="18.75" customHeight="1" x14ac:dyDescent="0.15">
      <c r="A18" s="125" t="s">
        <v>1</v>
      </c>
      <c r="B18" s="116"/>
      <c r="C18" s="116"/>
      <c r="D18" s="277"/>
      <c r="E18" s="278"/>
      <c r="F18" s="119" t="s">
        <v>1</v>
      </c>
      <c r="G18" s="116"/>
      <c r="H18" s="118"/>
    </row>
    <row r="19" spans="1:9" ht="18.75" customHeight="1" x14ac:dyDescent="0.15">
      <c r="A19" s="125" t="s">
        <v>2</v>
      </c>
      <c r="B19" s="73">
        <v>1</v>
      </c>
      <c r="C19" s="73">
        <v>1</v>
      </c>
      <c r="D19" s="277"/>
      <c r="E19" s="278"/>
      <c r="F19" s="119" t="s">
        <v>2</v>
      </c>
      <c r="G19" s="73">
        <v>1</v>
      </c>
      <c r="H19" s="120">
        <v>1</v>
      </c>
    </row>
    <row r="20" spans="1:9" ht="18.75" customHeight="1" x14ac:dyDescent="0.15">
      <c r="A20" s="125" t="s">
        <v>3</v>
      </c>
      <c r="B20" s="73"/>
      <c r="C20" s="73"/>
      <c r="F20" s="119" t="s">
        <v>3</v>
      </c>
      <c r="G20" s="73"/>
      <c r="H20" s="120"/>
    </row>
    <row r="21" spans="1:9" ht="18.75" customHeight="1" x14ac:dyDescent="0.15">
      <c r="A21" s="125" t="s">
        <v>4</v>
      </c>
      <c r="B21" s="73"/>
      <c r="C21" s="73"/>
      <c r="F21" s="119" t="s">
        <v>4</v>
      </c>
      <c r="G21" s="73"/>
      <c r="H21" s="120"/>
    </row>
    <row r="22" spans="1:9" ht="18.75" customHeight="1" x14ac:dyDescent="0.15">
      <c r="A22" s="125" t="s">
        <v>5</v>
      </c>
      <c r="B22" s="73">
        <v>2</v>
      </c>
      <c r="C22" s="73">
        <v>2</v>
      </c>
      <c r="F22" s="119" t="s">
        <v>5</v>
      </c>
      <c r="G22" s="73">
        <v>2</v>
      </c>
      <c r="H22" s="120">
        <v>2</v>
      </c>
    </row>
    <row r="23" spans="1:9" ht="18.75" customHeight="1" x14ac:dyDescent="0.15">
      <c r="A23" s="125" t="s">
        <v>6</v>
      </c>
      <c r="B23" s="73"/>
      <c r="C23" s="73"/>
      <c r="F23" s="119" t="s">
        <v>6</v>
      </c>
      <c r="G23" s="73"/>
      <c r="H23" s="120"/>
    </row>
    <row r="24" spans="1:9" ht="18.75" customHeight="1" x14ac:dyDescent="0.15">
      <c r="A24" s="125" t="s">
        <v>7</v>
      </c>
      <c r="B24" s="73"/>
      <c r="C24" s="73"/>
      <c r="F24" s="119" t="s">
        <v>7</v>
      </c>
      <c r="G24" s="73"/>
      <c r="H24" s="120"/>
    </row>
    <row r="25" spans="1:9" ht="18.75" customHeight="1" x14ac:dyDescent="0.15">
      <c r="A25" s="125" t="s">
        <v>8</v>
      </c>
      <c r="B25" s="73"/>
      <c r="C25" s="73">
        <v>1</v>
      </c>
      <c r="F25" s="119" t="s">
        <v>8</v>
      </c>
      <c r="G25" s="73"/>
      <c r="H25" s="120">
        <v>1</v>
      </c>
    </row>
    <row r="26" spans="1:9" ht="18.75" customHeight="1" x14ac:dyDescent="0.15">
      <c r="A26" s="125" t="s">
        <v>9</v>
      </c>
      <c r="B26" s="73"/>
      <c r="C26" s="73"/>
      <c r="F26" s="119" t="s">
        <v>9</v>
      </c>
      <c r="G26" s="73"/>
      <c r="H26" s="120"/>
    </row>
    <row r="27" spans="1:9" s="113" customFormat="1" ht="18.75" customHeight="1" x14ac:dyDescent="0.15">
      <c r="A27" s="125" t="s">
        <v>10</v>
      </c>
      <c r="B27" s="73"/>
      <c r="C27" s="73"/>
      <c r="F27" s="119" t="s">
        <v>10</v>
      </c>
      <c r="G27" s="73"/>
      <c r="H27" s="120"/>
      <c r="I27" s="114"/>
    </row>
    <row r="28" spans="1:9" s="113" customFormat="1" ht="18.75" customHeight="1" x14ac:dyDescent="0.15">
      <c r="A28" s="125" t="s">
        <v>11</v>
      </c>
      <c r="B28" s="73"/>
      <c r="C28" s="73"/>
      <c r="F28" s="119" t="s">
        <v>11</v>
      </c>
      <c r="G28" s="73"/>
      <c r="H28" s="120"/>
      <c r="I28" s="114"/>
    </row>
    <row r="29" spans="1:9" s="113" customFormat="1" ht="18.75" customHeight="1" thickBot="1" x14ac:dyDescent="0.2">
      <c r="A29" s="125" t="s">
        <v>12</v>
      </c>
      <c r="B29" s="73"/>
      <c r="C29" s="73"/>
      <c r="F29" s="121" t="s">
        <v>12</v>
      </c>
      <c r="G29" s="122"/>
      <c r="H29" s="123"/>
      <c r="I29" s="114"/>
    </row>
    <row r="30" spans="1:9" s="113" customFormat="1" ht="18.75" customHeight="1" thickTop="1" x14ac:dyDescent="0.15">
      <c r="A30" s="232"/>
      <c r="B30" s="233"/>
      <c r="C30" s="233"/>
      <c r="F30" s="232"/>
      <c r="G30" s="220"/>
      <c r="H30" s="220"/>
      <c r="I30" s="114"/>
    </row>
    <row r="31" spans="1:9" s="113" customFormat="1" ht="24" customHeight="1" x14ac:dyDescent="0.15">
      <c r="A31" s="168" t="s">
        <v>328</v>
      </c>
      <c r="B31" s="262">
        <f>管理者入力シート!B5</f>
        <v>2020</v>
      </c>
      <c r="C31" s="262"/>
      <c r="D31" s="83" t="s">
        <v>412</v>
      </c>
      <c r="E31" s="131"/>
      <c r="F31" s="131"/>
      <c r="G31" s="131"/>
      <c r="H31" s="131"/>
      <c r="I31" s="236"/>
    </row>
    <row r="32" spans="1:9" s="131" customFormat="1" ht="17.25" customHeight="1" x14ac:dyDescent="0.15">
      <c r="A32" s="159" t="s">
        <v>409</v>
      </c>
      <c r="B32" s="261">
        <f>管理者入力シート!B5</f>
        <v>2020</v>
      </c>
      <c r="C32" s="261"/>
      <c r="D32" s="212" t="s">
        <v>425</v>
      </c>
      <c r="E32" s="212"/>
      <c r="F32" s="212"/>
      <c r="G32" s="212"/>
      <c r="H32" s="212"/>
      <c r="I32" s="213"/>
    </row>
    <row r="33" spans="1:9" s="132" customFormat="1" ht="17.25" customHeight="1" x14ac:dyDescent="0.15">
      <c r="A33" s="160" t="s">
        <v>424</v>
      </c>
      <c r="B33" s="161"/>
      <c r="C33" s="83"/>
      <c r="D33" s="83"/>
      <c r="E33" s="83"/>
      <c r="F33" s="162"/>
      <c r="G33" s="83"/>
      <c r="H33" s="163"/>
      <c r="I33" s="164"/>
    </row>
    <row r="34" spans="1:9" s="132" customFormat="1" ht="17.25" customHeight="1" thickBot="1" x14ac:dyDescent="0.2">
      <c r="A34" s="160" t="s">
        <v>408</v>
      </c>
      <c r="F34" s="162"/>
      <c r="G34" s="218"/>
      <c r="H34" s="218"/>
      <c r="I34" s="219"/>
    </row>
    <row r="35" spans="1:9" s="130" customFormat="1" ht="17.25" customHeight="1" thickTop="1" x14ac:dyDescent="0.15">
      <c r="A35" s="165"/>
      <c r="B35" s="269" t="s">
        <v>257</v>
      </c>
      <c r="C35" s="270"/>
      <c r="D35" s="271"/>
      <c r="F35" s="162"/>
      <c r="G35" s="239"/>
      <c r="H35" s="263" t="s">
        <v>410</v>
      </c>
      <c r="I35" s="264"/>
    </row>
    <row r="36" spans="1:9" s="132" customFormat="1" ht="17.25" customHeight="1" x14ac:dyDescent="0.15">
      <c r="A36" s="160"/>
      <c r="B36" s="214"/>
      <c r="C36" s="127" t="s">
        <v>21</v>
      </c>
      <c r="D36" s="215" t="s">
        <v>22</v>
      </c>
      <c r="F36" s="162"/>
      <c r="G36" s="237">
        <f>管理者入力シート!B8</f>
        <v>2025</v>
      </c>
      <c r="H36" s="265">
        <f>管理者用人口入力シート!EU22</f>
        <v>675</v>
      </c>
      <c r="I36" s="266"/>
    </row>
    <row r="37" spans="1:9" s="130" customFormat="1" ht="17.25" customHeight="1" x14ac:dyDescent="0.15">
      <c r="A37" s="165"/>
      <c r="B37" s="225" t="s">
        <v>5</v>
      </c>
      <c r="C37" s="226">
        <f>管理者用人口入力シート!DX1</f>
        <v>7</v>
      </c>
      <c r="D37" s="227">
        <f>C37</f>
        <v>7</v>
      </c>
      <c r="F37" s="162"/>
      <c r="G37" s="237">
        <f>管理者入力シート!B9</f>
        <v>2030</v>
      </c>
      <c r="H37" s="265">
        <f>管理者用人口入力シート!EU25</f>
        <v>669</v>
      </c>
      <c r="I37" s="266"/>
    </row>
    <row r="38" spans="1:9" s="132" customFormat="1" ht="17.25" customHeight="1" x14ac:dyDescent="0.15">
      <c r="A38" s="160"/>
      <c r="B38" s="225" t="s">
        <v>6</v>
      </c>
      <c r="C38" s="226">
        <f>C37</f>
        <v>7</v>
      </c>
      <c r="D38" s="227">
        <f>C37</f>
        <v>7</v>
      </c>
      <c r="F38" s="162"/>
      <c r="G38" s="237">
        <f>管理者入力シート!B10</f>
        <v>2035</v>
      </c>
      <c r="H38" s="265">
        <f>管理者用人口入力シート!EU28</f>
        <v>685</v>
      </c>
      <c r="I38" s="266"/>
    </row>
    <row r="39" spans="1:9" ht="17.25" customHeight="1" thickBot="1" x14ac:dyDescent="0.2">
      <c r="A39" s="166"/>
      <c r="B39" s="228" t="s">
        <v>7</v>
      </c>
      <c r="C39" s="229">
        <f>C37</f>
        <v>7</v>
      </c>
      <c r="D39" s="230">
        <f>C37</f>
        <v>7</v>
      </c>
      <c r="F39" s="162"/>
      <c r="G39" s="238">
        <f>管理者入力シート!B11</f>
        <v>2040</v>
      </c>
      <c r="H39" s="267">
        <f>管理者用人口入力シート!EU31</f>
        <v>694</v>
      </c>
      <c r="I39" s="268"/>
    </row>
    <row r="40" spans="1:9" s="132" customFormat="1" ht="17.25" customHeight="1" thickTop="1" x14ac:dyDescent="0.15">
      <c r="A40" s="160"/>
      <c r="F40" s="83"/>
      <c r="G40" s="231"/>
      <c r="H40" s="216"/>
      <c r="I40" s="217"/>
    </row>
    <row r="41" spans="1:9" ht="17.25" customHeight="1" x14ac:dyDescent="0.15">
      <c r="A41" s="221"/>
      <c r="B41" s="234" t="s">
        <v>411</v>
      </c>
      <c r="C41" s="167"/>
      <c r="D41" s="222"/>
      <c r="E41" s="222"/>
      <c r="F41" s="223"/>
      <c r="G41" s="223"/>
      <c r="H41" s="223"/>
      <c r="I41" s="224"/>
    </row>
    <row r="42" spans="1:9" s="113" customFormat="1" ht="40.5" customHeight="1" x14ac:dyDescent="0.15">
      <c r="A42" s="108" t="s">
        <v>64</v>
      </c>
      <c r="I42" s="114"/>
    </row>
    <row r="43" spans="1:9" ht="22.5" customHeight="1" x14ac:dyDescent="0.15">
      <c r="A43" s="248">
        <f>管理者入力シート!B9</f>
        <v>2030</v>
      </c>
      <c r="B43" s="248"/>
      <c r="C43" s="20" t="s">
        <v>417</v>
      </c>
      <c r="D43" s="249">
        <f>管理者用グラフシート!U8</f>
        <v>582</v>
      </c>
      <c r="E43" s="249"/>
      <c r="F43" s="20" t="s">
        <v>231</v>
      </c>
      <c r="H43" s="34"/>
      <c r="I43" s="34"/>
    </row>
    <row r="44" spans="1:9" ht="22.5" customHeight="1" x14ac:dyDescent="0.15">
      <c r="A44" s="248">
        <f>管理者入力シート!B11</f>
        <v>2040</v>
      </c>
      <c r="B44" s="248"/>
      <c r="C44" s="20" t="s">
        <v>417</v>
      </c>
      <c r="D44" s="249">
        <f>管理者用グラフシート!U10</f>
        <v>475</v>
      </c>
      <c r="E44" s="249"/>
      <c r="F44" s="20" t="s">
        <v>231</v>
      </c>
      <c r="H44" s="34"/>
      <c r="I44" s="34"/>
    </row>
    <row r="45" spans="1:9" ht="22.5" customHeight="1" x14ac:dyDescent="0.15">
      <c r="A45" s="20" t="s">
        <v>121</v>
      </c>
    </row>
    <row r="46" spans="1:9" ht="22.5" customHeight="1" x14ac:dyDescent="0.15">
      <c r="A46" s="248">
        <f>管理者入力シート!B9</f>
        <v>2030</v>
      </c>
      <c r="B46" s="248"/>
      <c r="C46" s="20" t="s">
        <v>418</v>
      </c>
      <c r="D46" s="256">
        <f>D43-将来予測シート①!D6</f>
        <v>20</v>
      </c>
      <c r="E46" s="256"/>
      <c r="F46" s="20" t="s">
        <v>122</v>
      </c>
    </row>
    <row r="47" spans="1:9" ht="22.5" customHeight="1" x14ac:dyDescent="0.15">
      <c r="A47" s="248">
        <f>管理者入力シート!B11</f>
        <v>2040</v>
      </c>
      <c r="B47" s="248"/>
      <c r="C47" s="20" t="s">
        <v>418</v>
      </c>
      <c r="D47" s="256">
        <f>D44-将来予測シート①!D10</f>
        <v>40</v>
      </c>
      <c r="E47" s="256"/>
      <c r="F47" s="20" t="s">
        <v>123</v>
      </c>
    </row>
    <row r="76" spans="1:9" s="39" customFormat="1" ht="40.5" customHeight="1" x14ac:dyDescent="0.15">
      <c r="A76" s="108" t="s">
        <v>68</v>
      </c>
      <c r="I76" s="115"/>
    </row>
    <row r="77" spans="1:9" ht="22.5" customHeight="1" x14ac:dyDescent="0.15">
      <c r="A77" s="248">
        <f>管理者用グラフシート!O20</f>
        <v>2040</v>
      </c>
      <c r="B77" s="248"/>
      <c r="C77" s="20" t="s">
        <v>263</v>
      </c>
      <c r="F77" s="36"/>
      <c r="G77" s="36"/>
      <c r="H77" s="67"/>
      <c r="I77" s="34"/>
    </row>
    <row r="78" spans="1:9" ht="22.5" customHeight="1" x14ac:dyDescent="0.15">
      <c r="A78" s="20" t="s">
        <v>237</v>
      </c>
      <c r="E78" s="34"/>
      <c r="F78" s="249">
        <f>管理者用グラフシート!Q20</f>
        <v>28</v>
      </c>
      <c r="G78" s="249"/>
      <c r="H78" s="82" t="s">
        <v>264</v>
      </c>
      <c r="I78" s="34"/>
    </row>
    <row r="79" spans="1:9" ht="22.5" customHeight="1" x14ac:dyDescent="0.15">
      <c r="A79" s="20" t="s">
        <v>234</v>
      </c>
      <c r="F79" s="249">
        <f>管理者用グラフシート!Q28</f>
        <v>13</v>
      </c>
      <c r="G79" s="249"/>
      <c r="H79" s="82" t="s">
        <v>265</v>
      </c>
      <c r="I79" s="34"/>
    </row>
    <row r="80" spans="1:9" ht="22.5" customHeight="1" x14ac:dyDescent="0.15">
      <c r="F80" s="87"/>
      <c r="G80" s="87"/>
      <c r="H80" s="82" t="s">
        <v>266</v>
      </c>
      <c r="I80" s="34"/>
    </row>
    <row r="81" spans="1:13" ht="22.5" customHeight="1" x14ac:dyDescent="0.15">
      <c r="A81" s="20" t="s">
        <v>121</v>
      </c>
    </row>
    <row r="82" spans="1:13" ht="22.5" customHeight="1" x14ac:dyDescent="0.15">
      <c r="A82" s="20" t="s">
        <v>67</v>
      </c>
      <c r="C82" s="250">
        <f>F78-将来予測シート①!F36</f>
        <v>7</v>
      </c>
      <c r="D82" s="250"/>
      <c r="E82" s="20" t="s">
        <v>60</v>
      </c>
    </row>
    <row r="83" spans="1:13" ht="22.5" customHeight="1" x14ac:dyDescent="0.15">
      <c r="A83" s="20" t="s">
        <v>69</v>
      </c>
      <c r="C83" s="250">
        <f>F79-将来予測シート①!F37</f>
        <v>3</v>
      </c>
      <c r="D83" s="250"/>
      <c r="E83" s="20" t="s">
        <v>267</v>
      </c>
      <c r="L83" s="133"/>
      <c r="M83" s="133"/>
    </row>
    <row r="84" spans="1:13" ht="22.5" customHeight="1" x14ac:dyDescent="0.15">
      <c r="D84" s="37"/>
      <c r="E84" s="37"/>
    </row>
    <row r="110" spans="1:9" s="39" customFormat="1" ht="44.25" customHeight="1" x14ac:dyDescent="0.15">
      <c r="A110" s="108" t="s">
        <v>74</v>
      </c>
      <c r="I110" s="115"/>
    </row>
    <row r="111" spans="1:9" ht="22.5" customHeight="1" x14ac:dyDescent="0.15">
      <c r="A111" s="248">
        <f>管理者用グラフシート!O38</f>
        <v>2040</v>
      </c>
      <c r="B111" s="248"/>
      <c r="C111" s="20" t="s">
        <v>371</v>
      </c>
      <c r="F111" s="36"/>
      <c r="G111" s="36"/>
      <c r="H111" s="67"/>
      <c r="I111" s="34"/>
    </row>
    <row r="112" spans="1:9" ht="22.5" customHeight="1" x14ac:dyDescent="0.15">
      <c r="A112" s="20" t="s">
        <v>269</v>
      </c>
      <c r="C112" s="249">
        <f>管理者用グラフシート!Q38</f>
        <v>227</v>
      </c>
      <c r="D112" s="249"/>
      <c r="E112" s="20" t="s">
        <v>270</v>
      </c>
      <c r="F112" s="36"/>
      <c r="G112" s="111">
        <f>管理者用グラフシート!Q56</f>
        <v>0.48</v>
      </c>
      <c r="H112" s="82" t="s">
        <v>271</v>
      </c>
      <c r="I112" s="34"/>
    </row>
    <row r="113" spans="1:9" ht="22.5" customHeight="1" x14ac:dyDescent="0.15">
      <c r="A113" s="20" t="s">
        <v>268</v>
      </c>
      <c r="C113" s="249">
        <f>管理者用グラフシート!Q46</f>
        <v>137</v>
      </c>
      <c r="D113" s="249"/>
      <c r="E113" s="82" t="s">
        <v>270</v>
      </c>
      <c r="F113" s="34"/>
      <c r="G113" s="111">
        <f>管理者用グラフシート!Q64</f>
        <v>0.28999999999999998</v>
      </c>
      <c r="H113" s="82" t="s">
        <v>272</v>
      </c>
      <c r="I113" s="71"/>
    </row>
    <row r="114" spans="1:9" ht="22.5" customHeight="1" x14ac:dyDescent="0.15">
      <c r="G114" s="20" t="s">
        <v>266</v>
      </c>
    </row>
    <row r="115" spans="1:9" ht="22.5" customHeight="1" x14ac:dyDescent="0.15">
      <c r="A115" s="20" t="s">
        <v>121</v>
      </c>
      <c r="D115" s="34"/>
      <c r="E115" s="34"/>
      <c r="F115" s="35"/>
    </row>
    <row r="116" spans="1:9" ht="22.5" customHeight="1" x14ac:dyDescent="0.15">
      <c r="B116" s="20" t="s">
        <v>81</v>
      </c>
      <c r="D116" s="37"/>
      <c r="E116" s="249" t="str">
        <f>IF((管理者用グラフシート!Q56-管理者用グラフシート!P56)&gt;0.01,ABS(ROUND(管理者用グラフシート!Q56-管理者用グラフシート!P56,2)*100)&amp;"ポイント上昇",IF((管理者用グラフシート!Q56-管理者用グラフシート!P56)&lt;-0.01,ABS(ROUND(管理者用グラフシート!Q56-管理者用グラフシート!P56,2)*100)&amp;"ポイント低下","ほぼ横ばい"))</f>
        <v>4ポイント低下</v>
      </c>
      <c r="F116" s="249"/>
      <c r="G116" s="249"/>
      <c r="H116" s="20" t="s">
        <v>82</v>
      </c>
    </row>
    <row r="117" spans="1:9" ht="22.5" customHeight="1" x14ac:dyDescent="0.15">
      <c r="B117" s="20" t="s">
        <v>83</v>
      </c>
      <c r="D117" s="37"/>
      <c r="E117" s="255" t="str">
        <f>IF((管理者用グラフシート!Q64-管理者用グラフシート!P64)&gt;0.01,ABS(ROUND(管理者用グラフシート!Q64-管理者用グラフシート!P64,2)*100)&amp;"ポイント上昇",IF((管理者用グラフシート!Q64-管理者用グラフシート!P64)&lt;-0.01,ABS(ROUND(管理者用グラフシート!Q64-管理者用グラフシート!P64,2)*100)&amp;"ポイント低下","ほぼ横ばい"))</f>
        <v>2ポイント低下</v>
      </c>
      <c r="F117" s="255"/>
      <c r="G117" s="255"/>
      <c r="H117" s="20" t="s">
        <v>77</v>
      </c>
    </row>
    <row r="143" spans="1:9" s="113" customFormat="1" ht="46.5" customHeight="1" x14ac:dyDescent="0.15">
      <c r="A143" s="108" t="s">
        <v>112</v>
      </c>
      <c r="I143" s="114"/>
    </row>
    <row r="144" spans="1:9" ht="22.5" customHeight="1" x14ac:dyDescent="0.15">
      <c r="A144" s="248">
        <f>管理者用グラフシート!O91</f>
        <v>2030</v>
      </c>
      <c r="B144" s="248"/>
      <c r="C144" s="20" t="s">
        <v>364</v>
      </c>
    </row>
    <row r="177" spans="1:9" ht="22.5" customHeight="1" x14ac:dyDescent="0.15">
      <c r="A177" s="248">
        <f>管理者用グラフシート!O139</f>
        <v>2040</v>
      </c>
      <c r="B177" s="248"/>
      <c r="C177" s="20" t="s">
        <v>364</v>
      </c>
    </row>
    <row r="178" spans="1:9" ht="22.5" customHeight="1" x14ac:dyDescent="0.15">
      <c r="E178" s="259"/>
      <c r="F178" s="259"/>
      <c r="G178" s="259"/>
      <c r="H178" s="259"/>
      <c r="I178" s="259"/>
    </row>
    <row r="210" spans="1:9" ht="22.5" customHeight="1" x14ac:dyDescent="0.15">
      <c r="A210" s="20" t="s">
        <v>274</v>
      </c>
      <c r="B210" s="248">
        <f>管理者用グラフシート!O212</f>
        <v>2030</v>
      </c>
      <c r="C210" s="248"/>
      <c r="D210" s="134" t="s">
        <v>275</v>
      </c>
    </row>
    <row r="211" spans="1:9" ht="22.5" customHeight="1" x14ac:dyDescent="0.15">
      <c r="A211" s="20" t="s">
        <v>338</v>
      </c>
    </row>
    <row r="212" spans="1:9" ht="22.5" customHeight="1" x14ac:dyDescent="0.15">
      <c r="I212" s="197" t="s">
        <v>327</v>
      </c>
    </row>
    <row r="245" spans="1:9" ht="22.5" customHeight="1" x14ac:dyDescent="0.15">
      <c r="A245" s="20" t="s">
        <v>274</v>
      </c>
      <c r="B245" s="248">
        <f>管理者用グラフシート!O236</f>
        <v>2040</v>
      </c>
      <c r="C245" s="248"/>
      <c r="D245" s="134" t="s">
        <v>275</v>
      </c>
    </row>
    <row r="246" spans="1:9" ht="22.5" customHeight="1" x14ac:dyDescent="0.15">
      <c r="A246" s="20" t="s">
        <v>338</v>
      </c>
    </row>
    <row r="247" spans="1:9" ht="22.5" customHeight="1" x14ac:dyDescent="0.15">
      <c r="I247" s="197" t="s">
        <v>327</v>
      </c>
    </row>
    <row r="279" spans="1:9" ht="22.5" customHeight="1" thickBot="1" x14ac:dyDescent="0.2"/>
    <row r="280" spans="1:9" ht="22.5" customHeight="1" x14ac:dyDescent="0.15">
      <c r="A280" s="89" t="s">
        <v>365</v>
      </c>
      <c r="B280" s="90"/>
      <c r="C280" s="90"/>
      <c r="D280" s="90"/>
      <c r="E280" s="90"/>
      <c r="F280" s="90"/>
      <c r="G280" s="90"/>
      <c r="H280" s="90"/>
      <c r="I280" s="91"/>
    </row>
    <row r="281" spans="1:9" ht="22.5" customHeight="1" x14ac:dyDescent="0.15">
      <c r="A281" s="92" t="s">
        <v>354</v>
      </c>
      <c r="I281" s="93"/>
    </row>
    <row r="282" spans="1:9" ht="22.5" customHeight="1" x14ac:dyDescent="0.15">
      <c r="A282" s="176" t="s">
        <v>428</v>
      </c>
      <c r="B282" s="84"/>
      <c r="I282" s="93"/>
    </row>
    <row r="283" spans="1:9" ht="22.5" customHeight="1" x14ac:dyDescent="0.15">
      <c r="A283" s="92"/>
      <c r="B283" s="84"/>
      <c r="I283" s="93"/>
    </row>
    <row r="284" spans="1:9" ht="22.5" customHeight="1" x14ac:dyDescent="0.15">
      <c r="A284" s="92"/>
      <c r="B284" s="84"/>
      <c r="I284" s="93"/>
    </row>
    <row r="285" spans="1:9" ht="22.5" customHeight="1" x14ac:dyDescent="0.15">
      <c r="A285" s="92"/>
      <c r="B285" s="84"/>
      <c r="I285" s="93"/>
    </row>
    <row r="286" spans="1:9" ht="22.5" customHeight="1" x14ac:dyDescent="0.15">
      <c r="A286" s="92"/>
      <c r="B286" s="84"/>
      <c r="I286" s="93"/>
    </row>
    <row r="287" spans="1:9" ht="22.5" customHeight="1" x14ac:dyDescent="0.15">
      <c r="A287" s="92"/>
      <c r="B287" s="84"/>
      <c r="I287" s="93"/>
    </row>
    <row r="288" spans="1:9" ht="22.5" customHeight="1" x14ac:dyDescent="0.15">
      <c r="A288" s="92"/>
      <c r="B288" s="84"/>
      <c r="I288" s="93"/>
    </row>
    <row r="289" spans="1:9" ht="22.5" customHeight="1" x14ac:dyDescent="0.15">
      <c r="A289" s="92"/>
      <c r="I289" s="93"/>
    </row>
    <row r="290" spans="1:9" ht="22.5" customHeight="1" x14ac:dyDescent="0.15">
      <c r="A290" s="92"/>
      <c r="I290" s="93"/>
    </row>
    <row r="291" spans="1:9" ht="22.5" customHeight="1" x14ac:dyDescent="0.15">
      <c r="A291" s="92"/>
      <c r="I291" s="93"/>
    </row>
    <row r="292" spans="1:9" ht="22.5" customHeight="1" x14ac:dyDescent="0.15">
      <c r="A292" s="92" t="s">
        <v>366</v>
      </c>
      <c r="I292" s="93"/>
    </row>
    <row r="293" spans="1:9" ht="22.5" customHeight="1" x14ac:dyDescent="0.15">
      <c r="A293" s="102" t="s">
        <v>247</v>
      </c>
      <c r="B293" s="84" t="s">
        <v>277</v>
      </c>
      <c r="I293" s="93"/>
    </row>
    <row r="294" spans="1:9" ht="22.5" customHeight="1" x14ac:dyDescent="0.15">
      <c r="A294" s="92"/>
      <c r="B294" s="84" t="s">
        <v>276</v>
      </c>
      <c r="I294" s="93"/>
    </row>
    <row r="295" spans="1:9" ht="22.5" customHeight="1" x14ac:dyDescent="0.15">
      <c r="A295" s="92"/>
      <c r="B295" s="84" t="s">
        <v>367</v>
      </c>
      <c r="I295" s="93"/>
    </row>
    <row r="296" spans="1:9" ht="22.5" customHeight="1" x14ac:dyDescent="0.15">
      <c r="A296" s="92"/>
      <c r="B296" s="84"/>
      <c r="I296" s="93"/>
    </row>
    <row r="297" spans="1:9" ht="22.5" customHeight="1" x14ac:dyDescent="0.15">
      <c r="A297" s="92"/>
      <c r="B297" s="84"/>
      <c r="I297" s="93"/>
    </row>
    <row r="298" spans="1:9" ht="22.5" customHeight="1" x14ac:dyDescent="0.15">
      <c r="A298" s="92"/>
      <c r="I298" s="93"/>
    </row>
    <row r="299" spans="1:9" ht="22.5" customHeight="1" x14ac:dyDescent="0.15">
      <c r="A299" s="92"/>
      <c r="I299" s="93"/>
    </row>
    <row r="300" spans="1:9" ht="22.5" customHeight="1" x14ac:dyDescent="0.15">
      <c r="A300" s="92"/>
      <c r="I300" s="93"/>
    </row>
    <row r="301" spans="1:9" ht="22.5" customHeight="1" x14ac:dyDescent="0.15">
      <c r="A301" s="92"/>
      <c r="I301" s="93"/>
    </row>
    <row r="302" spans="1:9" ht="22.5" customHeight="1" x14ac:dyDescent="0.15">
      <c r="A302" s="92"/>
      <c r="I302" s="93"/>
    </row>
    <row r="303" spans="1:9" ht="22.5" customHeight="1" x14ac:dyDescent="0.15">
      <c r="A303" s="92"/>
      <c r="I303" s="93"/>
    </row>
    <row r="304" spans="1:9" ht="22.5" customHeight="1" x14ac:dyDescent="0.15">
      <c r="A304" s="92"/>
      <c r="I304" s="93"/>
    </row>
    <row r="305" spans="1:9" ht="22.5" customHeight="1" x14ac:dyDescent="0.15">
      <c r="A305" s="92"/>
      <c r="I305" s="93"/>
    </row>
    <row r="306" spans="1:9" ht="22.5" customHeight="1" x14ac:dyDescent="0.15">
      <c r="A306" s="92"/>
      <c r="I306" s="93"/>
    </row>
    <row r="307" spans="1:9" ht="22.5" customHeight="1" x14ac:dyDescent="0.15">
      <c r="A307" s="92"/>
      <c r="I307" s="93"/>
    </row>
    <row r="308" spans="1:9" ht="22.5" customHeight="1" x14ac:dyDescent="0.15">
      <c r="A308" s="92"/>
      <c r="I308" s="93"/>
    </row>
    <row r="309" spans="1:9" ht="22.5" customHeight="1" x14ac:dyDescent="0.15">
      <c r="A309" s="92"/>
      <c r="I309" s="93"/>
    </row>
    <row r="310" spans="1:9" ht="22.5" customHeight="1" x14ac:dyDescent="0.15">
      <c r="A310" s="92"/>
      <c r="I310" s="93"/>
    </row>
    <row r="311" spans="1:9" ht="22.5" customHeight="1" x14ac:dyDescent="0.15">
      <c r="A311" s="92"/>
      <c r="I311" s="93"/>
    </row>
    <row r="312" spans="1:9" ht="22.5" customHeight="1" x14ac:dyDescent="0.15">
      <c r="A312" s="92"/>
      <c r="I312" s="93"/>
    </row>
    <row r="313" spans="1:9" ht="22.5" customHeight="1" x14ac:dyDescent="0.15">
      <c r="A313" s="92"/>
      <c r="I313" s="93"/>
    </row>
    <row r="314" spans="1:9" ht="22.5" customHeight="1" thickBot="1" x14ac:dyDescent="0.2">
      <c r="A314" s="94"/>
      <c r="B314" s="95"/>
      <c r="C314" s="95"/>
      <c r="D314" s="95"/>
      <c r="E314" s="95"/>
      <c r="F314" s="95"/>
      <c r="G314" s="95"/>
      <c r="H314" s="95"/>
      <c r="I314" s="96"/>
    </row>
  </sheetData>
  <mergeCells count="36">
    <mergeCell ref="A2:C3"/>
    <mergeCell ref="D2:I3"/>
    <mergeCell ref="F15:H15"/>
    <mergeCell ref="A15:C15"/>
    <mergeCell ref="D15:E19"/>
    <mergeCell ref="A43:B43"/>
    <mergeCell ref="A44:B44"/>
    <mergeCell ref="B245:C245"/>
    <mergeCell ref="A177:B177"/>
    <mergeCell ref="D43:E43"/>
    <mergeCell ref="D44:E44"/>
    <mergeCell ref="D46:E46"/>
    <mergeCell ref="A77:B77"/>
    <mergeCell ref="D47:E47"/>
    <mergeCell ref="A46:B46"/>
    <mergeCell ref="H38:I38"/>
    <mergeCell ref="H39:I39"/>
    <mergeCell ref="B35:D35"/>
    <mergeCell ref="E178:I178"/>
    <mergeCell ref="B210:C210"/>
    <mergeCell ref="F78:G78"/>
    <mergeCell ref="E116:G116"/>
    <mergeCell ref="E117:G117"/>
    <mergeCell ref="C82:D82"/>
    <mergeCell ref="C83:D83"/>
    <mergeCell ref="F79:G79"/>
    <mergeCell ref="A111:B111"/>
    <mergeCell ref="C112:D112"/>
    <mergeCell ref="C113:D113"/>
    <mergeCell ref="A144:B144"/>
    <mergeCell ref="A47:B47"/>
    <mergeCell ref="B32:C32"/>
    <mergeCell ref="B31:C31"/>
    <mergeCell ref="H35:I35"/>
    <mergeCell ref="H36:I36"/>
    <mergeCell ref="H37:I37"/>
  </mergeCells>
  <phoneticPr fontId="2"/>
  <printOptions horizontalCentered="1"/>
  <pageMargins left="0.70866141732283472" right="0.70866141732283472" top="0.74803149606299213" bottom="0.74803149606299213" header="0.31496062992125984" footer="0.31496062992125984"/>
  <pageSetup paperSize="9" scale="90" firstPageNumber="13" orientation="portrait" useFirstPageNumber="1" r:id="rId1"/>
  <headerFooter>
    <oddHeader>&amp;L&amp;"HG丸ｺﾞｼｯｸM-PRO,標準"&amp;16【&amp;A】</oddHeader>
    <oddFooter>&amp;C&amp;"HG丸ｺﾞｼｯｸM-PRO,標準"&amp;16 &amp;P</oddFooter>
  </headerFooter>
  <rowBreaks count="8" manualBreakCount="8">
    <brk id="41" max="8" man="1"/>
    <brk id="75" max="8" man="1"/>
    <brk id="109" max="8" man="1"/>
    <brk id="142" max="8" man="1"/>
    <brk id="176" max="8" man="1"/>
    <brk id="209" max="16383" man="1"/>
    <brk id="244" max="16383" man="1"/>
    <brk id="279" max="8"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70"/>
  <sheetViews>
    <sheetView zoomScale="85" zoomScaleNormal="85" workbookViewId="0">
      <selection sqref="A1:C2"/>
    </sheetView>
  </sheetViews>
  <sheetFormatPr defaultColWidth="9" defaultRowHeight="22.5" customHeight="1" x14ac:dyDescent="0.15"/>
  <cols>
    <col min="1" max="1" width="11.5" style="20" customWidth="1"/>
    <col min="2" max="4" width="10" style="20" customWidth="1"/>
    <col min="5" max="5" width="11.625" style="20" customWidth="1"/>
    <col min="6" max="6" width="10.75" style="20" customWidth="1"/>
    <col min="7" max="7" width="12.25" style="20" customWidth="1"/>
    <col min="8" max="8" width="12.75" style="20" customWidth="1"/>
    <col min="9" max="16384" width="9" style="20"/>
  </cols>
  <sheetData>
    <row r="1" spans="1:8" ht="22.5" customHeight="1" x14ac:dyDescent="0.15">
      <c r="A1" s="253" t="str">
        <f>管理者入力シート!B4</f>
        <v>中堂四枝上畑地域</v>
      </c>
      <c r="B1" s="253"/>
      <c r="C1" s="253"/>
      <c r="D1" s="252" t="s">
        <v>278</v>
      </c>
      <c r="E1" s="252"/>
      <c r="F1" s="252"/>
      <c r="G1" s="252"/>
      <c r="H1" s="252"/>
    </row>
    <row r="2" spans="1:8" ht="22.5" customHeight="1" x14ac:dyDescent="0.15">
      <c r="A2" s="253"/>
      <c r="B2" s="253"/>
      <c r="C2" s="253"/>
      <c r="D2" s="252"/>
      <c r="E2" s="252"/>
      <c r="F2" s="252"/>
      <c r="G2" s="252"/>
      <c r="H2" s="252"/>
    </row>
    <row r="3" spans="1:8" ht="22.5" customHeight="1" x14ac:dyDescent="0.15">
      <c r="A3" s="20" t="s">
        <v>279</v>
      </c>
    </row>
    <row r="5" spans="1:8" s="113" customFormat="1" ht="40.5" customHeight="1" x14ac:dyDescent="0.15">
      <c r="A5" s="108" t="s">
        <v>280</v>
      </c>
    </row>
    <row r="6" spans="1:8" ht="22.5" customHeight="1" x14ac:dyDescent="0.15">
      <c r="A6" s="248">
        <f>管理者用グラフシート!B6</f>
        <v>2020</v>
      </c>
      <c r="B6" s="248"/>
      <c r="C6" s="20" t="s">
        <v>419</v>
      </c>
    </row>
    <row r="7" spans="1:8" ht="22.5" customHeight="1" x14ac:dyDescent="0.15">
      <c r="A7" s="20" t="s">
        <v>281</v>
      </c>
      <c r="F7" s="279">
        <f>管理者用地域特徴シート!H5</f>
        <v>0.66225165562913912</v>
      </c>
      <c r="G7" s="279"/>
      <c r="H7" s="20" t="s">
        <v>282</v>
      </c>
    </row>
    <row r="8" spans="1:8" ht="22.5" customHeight="1" x14ac:dyDescent="0.15">
      <c r="A8" s="86" t="str">
        <f>管理者入力シート!B3</f>
        <v>綾町</v>
      </c>
      <c r="B8" s="20" t="s">
        <v>293</v>
      </c>
      <c r="D8" s="34" t="str">
        <f>IF(管理者用地域特徴シート!H5-管理者用地域特徴シート!H4&gt;0.01,"高く、",IF(管理者用地域特徴シート!H5-管理者用地域特徴シート!H4&lt;-0.01,"低く、","同程度で、"))</f>
        <v>高く、</v>
      </c>
    </row>
    <row r="9" spans="1:8" ht="22.5" customHeight="1" x14ac:dyDescent="0.15">
      <c r="A9" s="20" t="s">
        <v>284</v>
      </c>
      <c r="D9" s="34" t="str">
        <f>IF(管理者用地域特徴シート!H5-管理者用地域特徴シート!H3&gt;0.01,"高くなっています。",IF(管理者用地域特徴シート!H5-管理者用地域特徴シート!H3&lt;-0.01,"低くなっています。","同程度です。"))</f>
        <v>高くなっています。</v>
      </c>
    </row>
    <row r="10" spans="1:8" ht="22.5" customHeight="1" x14ac:dyDescent="0.15">
      <c r="A10" s="20" t="s">
        <v>415</v>
      </c>
    </row>
    <row r="11" spans="1:8" ht="22.5" customHeight="1" x14ac:dyDescent="0.15">
      <c r="A11" s="282" t="str">
        <f>地域特徴シート!A1</f>
        <v>中堂四枝上畑地域</v>
      </c>
      <c r="B11" s="282"/>
      <c r="C11" s="256">
        <f>管理者用地域特徴シート!D5</f>
        <v>302</v>
      </c>
      <c r="D11" s="251"/>
      <c r="E11" s="20" t="s">
        <v>413</v>
      </c>
    </row>
    <row r="12" spans="1:8" ht="22.5" customHeight="1" x14ac:dyDescent="0.15">
      <c r="A12" s="251" t="str">
        <f>A8</f>
        <v>綾町</v>
      </c>
      <c r="B12" s="251"/>
      <c r="C12" s="256">
        <f>管理者用地域特徴シート!D4</f>
        <v>2851</v>
      </c>
      <c r="D12" s="251"/>
      <c r="E12" s="20" t="s">
        <v>413</v>
      </c>
    </row>
    <row r="13" spans="1:8" ht="22.5" customHeight="1" x14ac:dyDescent="0.15">
      <c r="A13" s="251" t="s">
        <v>414</v>
      </c>
      <c r="B13" s="251"/>
      <c r="C13" s="256">
        <f>管理者用地域特徴シート!D3</f>
        <v>468575.00000000006</v>
      </c>
      <c r="D13" s="251"/>
      <c r="E13" s="20" t="s">
        <v>416</v>
      </c>
    </row>
    <row r="23" spans="1:8" ht="22.5" customHeight="1" x14ac:dyDescent="0.15">
      <c r="A23" s="20" t="s">
        <v>285</v>
      </c>
      <c r="G23" s="240">
        <f>管理者用地域特徴シート!J5</f>
        <v>0.2251655629139073</v>
      </c>
      <c r="H23" s="35" t="s">
        <v>286</v>
      </c>
    </row>
    <row r="24" spans="1:8" ht="22.5" customHeight="1" x14ac:dyDescent="0.15">
      <c r="A24" s="86" t="str">
        <f>管理者入力シート!B3</f>
        <v>綾町</v>
      </c>
      <c r="B24" s="20" t="s">
        <v>293</v>
      </c>
      <c r="D24" s="152" t="str">
        <f>IF(管理者用地域特徴シート!J5-管理者用地域特徴シート!J4&gt;0.01,"高く、",IF(管理者用地域特徴シート!J5-管理者用地域特徴シート!J4&lt;-0.01,"低く、","同程度で、"))</f>
        <v>高く、</v>
      </c>
    </row>
    <row r="25" spans="1:8" ht="22.5" customHeight="1" x14ac:dyDescent="0.15">
      <c r="A25" s="20" t="s">
        <v>284</v>
      </c>
      <c r="D25" s="34" t="str">
        <f>IF(管理者用地域特徴シート!J5-管理者用地域特徴シート!J3&gt;0.01,"高くなっています。",IF(管理者用地域特徴シート!J5-管理者用地域特徴シート!J3&lt;-0.01,"低くなっています。","同程度です。"))</f>
        <v>高くなっています。</v>
      </c>
    </row>
    <row r="35" spans="1:8" s="113" customFormat="1" ht="40.5" customHeight="1" x14ac:dyDescent="0.15">
      <c r="A35" s="108" t="s">
        <v>206</v>
      </c>
    </row>
    <row r="36" spans="1:8" ht="22.5" customHeight="1" x14ac:dyDescent="0.15">
      <c r="A36" s="248">
        <f>管理者用グラフシート!B36</f>
        <v>2020</v>
      </c>
      <c r="B36" s="248"/>
      <c r="C36" s="20" t="s">
        <v>420</v>
      </c>
    </row>
    <row r="37" spans="1:8" ht="22.5" customHeight="1" x14ac:dyDescent="0.15">
      <c r="A37" s="20" t="s">
        <v>287</v>
      </c>
      <c r="F37" s="279">
        <f>管理者用地域特徴シート!P5</f>
        <v>0.21839080459770116</v>
      </c>
      <c r="G37" s="279"/>
      <c r="H37" s="20" t="s">
        <v>286</v>
      </c>
    </row>
    <row r="38" spans="1:8" ht="22.5" customHeight="1" x14ac:dyDescent="0.15">
      <c r="A38" s="86" t="str">
        <f>管理者入力シート!B3</f>
        <v>綾町</v>
      </c>
      <c r="B38" s="20" t="s">
        <v>293</v>
      </c>
      <c r="D38" s="152" t="str">
        <f>IF(管理者用地域特徴シート!P5-管理者用地域特徴シート!P4&gt;0.01,"高く、",IF(管理者用地域特徴シート!P5-管理者用地域特徴シート!P4&lt;-0.01,"低く、","同程度で、"))</f>
        <v>低く、</v>
      </c>
    </row>
    <row r="39" spans="1:8" ht="22.5" customHeight="1" x14ac:dyDescent="0.15">
      <c r="A39" s="20" t="s">
        <v>284</v>
      </c>
      <c r="D39" s="34" t="str">
        <f>IF(管理者用地域特徴シート!P5-管理者用地域特徴シート!P3&gt;0.01,"高くなっています。",IF(管理者用地域特徴シート!P5-管理者用地域特徴シート!P3&lt;-0.01,"低くなっています。","同程度です。"))</f>
        <v>低くなっています。</v>
      </c>
    </row>
    <row r="40" spans="1:8" ht="22.5" customHeight="1" x14ac:dyDescent="0.15">
      <c r="D40" s="34"/>
    </row>
    <row r="41" spans="1:8" ht="22.5" customHeight="1" x14ac:dyDescent="0.15">
      <c r="A41" s="86" t="str">
        <f>管理者入力シート!B3</f>
        <v>綾町</v>
      </c>
      <c r="B41" s="20" t="s">
        <v>294</v>
      </c>
      <c r="D41" s="34" t="str">
        <f>IF(管理者用地域特徴シート!P5-管理者用地域特徴シート!P4&gt;0.01,"新しい居住者の割合が高い地域です。",IF(管理者用地域特徴シート!P5-管理者用地域特徴シート!P4&lt;-0.01,"昔からの居住者の割合が高い地域です。","平均と同程度の地域です。"))</f>
        <v>昔からの居住者の割合が高い地域です。</v>
      </c>
    </row>
    <row r="42" spans="1:8" ht="22.5" customHeight="1" x14ac:dyDescent="0.15">
      <c r="A42" s="20" t="s">
        <v>288</v>
      </c>
      <c r="D42" s="34" t="str">
        <f>IF(管理者用地域特徴シート!P5-管理者用地域特徴シート!P3&gt;0.01,"新しい居住者の割合が高い地域です。",IF(管理者用地域特徴シート!P5-管理者用地域特徴シート!P3&lt;-0.01,"昔からの居住者の割合が高い地域です。","平均と同程度の地域です。"))</f>
        <v>昔からの居住者の割合が高い地域です。</v>
      </c>
    </row>
    <row r="69" spans="1:8" s="113" customFormat="1" ht="40.5" customHeight="1" x14ac:dyDescent="0.15">
      <c r="A69" s="108" t="s">
        <v>207</v>
      </c>
    </row>
    <row r="70" spans="1:8" ht="22.5" customHeight="1" x14ac:dyDescent="0.15">
      <c r="A70" s="20" t="s">
        <v>289</v>
      </c>
      <c r="B70" s="34"/>
      <c r="E70" s="281">
        <f>管理者用地域特徴シート!W5</f>
        <v>81</v>
      </c>
      <c r="F70" s="281"/>
      <c r="G70" s="20" t="s">
        <v>290</v>
      </c>
    </row>
    <row r="71" spans="1:8" ht="22.5" customHeight="1" x14ac:dyDescent="0.15">
      <c r="A71" s="20" t="s">
        <v>295</v>
      </c>
      <c r="F71" s="279">
        <f>管理者用地域特徴シート!AK5</f>
        <v>0.60493827160493829</v>
      </c>
      <c r="G71" s="279"/>
      <c r="H71" s="20" t="s">
        <v>271</v>
      </c>
    </row>
    <row r="72" spans="1:8" ht="22.5" customHeight="1" x14ac:dyDescent="0.15">
      <c r="A72" s="20" t="s">
        <v>296</v>
      </c>
      <c r="F72" s="279">
        <f>管理者用地域特徴シート!AL5</f>
        <v>8.6419753086419748E-2</v>
      </c>
      <c r="G72" s="279"/>
      <c r="H72" s="20" t="s">
        <v>297</v>
      </c>
    </row>
    <row r="73" spans="1:8" ht="22.5" customHeight="1" x14ac:dyDescent="0.15">
      <c r="A73" s="20" t="s">
        <v>298</v>
      </c>
      <c r="E73" s="279"/>
      <c r="F73" s="279"/>
    </row>
    <row r="74" spans="1:8" ht="22.5" customHeight="1" x14ac:dyDescent="0.15">
      <c r="A74" s="20" t="s">
        <v>339</v>
      </c>
      <c r="C74" s="177">
        <f>管理者用地域特徴シート!AN5</f>
        <v>0.51851851851851849</v>
      </c>
      <c r="D74" s="156" t="s">
        <v>299</v>
      </c>
      <c r="E74" s="177">
        <f>管理者用地域特徴シート!AO5</f>
        <v>0.48148148148148145</v>
      </c>
      <c r="F74" s="20" t="s">
        <v>291</v>
      </c>
    </row>
    <row r="76" spans="1:8" ht="22.5" customHeight="1" x14ac:dyDescent="0.15">
      <c r="A76" s="86" t="str">
        <f>管理者入力シート!B3</f>
        <v>綾町</v>
      </c>
      <c r="B76" s="20" t="s">
        <v>294</v>
      </c>
      <c r="D76" s="34" t="str">
        <f>IF(管理者用地域特徴シート!AO5-管理者用地域特徴シート!AO4&gt;0.01,"女性の転入者割合が高い地域です。",IF(管理者用地域特徴シート!AO5-管理者用地域特徴シート!AO4&lt;-0.01,"女性の転入者割合が低い地域です。","平均と同程度の地域です。"))</f>
        <v>女性の転入者割合が低い地域です。</v>
      </c>
    </row>
    <row r="77" spans="1:8" ht="22.5" customHeight="1" x14ac:dyDescent="0.15">
      <c r="A77" s="20" t="s">
        <v>288</v>
      </c>
      <c r="D77" s="34" t="str">
        <f>IF(管理者用地域特徴シート!AO5-管理者用地域特徴シート!AO3&gt;0.01,"女性の転入者割合が高い地域です。",IF(管理者用地域特徴シート!AO5-管理者用地域特徴シート!AO3&lt;-0.01,"女性の転入者割合が低い地域です。","平均と同程度の地域です。"))</f>
        <v>女性の転入者割合が低い地域です。</v>
      </c>
    </row>
    <row r="95" spans="1:8" ht="22.5" customHeight="1" thickBot="1" x14ac:dyDescent="0.2"/>
    <row r="96" spans="1:8" ht="22.5" customHeight="1" x14ac:dyDescent="0.15">
      <c r="A96" s="89" t="s">
        <v>368</v>
      </c>
      <c r="B96" s="90"/>
      <c r="C96" s="90"/>
      <c r="D96" s="90"/>
      <c r="E96" s="90"/>
      <c r="F96" s="90"/>
      <c r="G96" s="90"/>
      <c r="H96" s="91"/>
    </row>
    <row r="97" spans="1:8" ht="22.5" customHeight="1" x14ac:dyDescent="0.15">
      <c r="A97" s="92" t="s">
        <v>300</v>
      </c>
      <c r="H97" s="93"/>
    </row>
    <row r="98" spans="1:8" ht="22.5" customHeight="1" x14ac:dyDescent="0.15">
      <c r="A98" s="92"/>
      <c r="H98" s="93"/>
    </row>
    <row r="99" spans="1:8" ht="22.5" customHeight="1" x14ac:dyDescent="0.15">
      <c r="A99" s="92"/>
      <c r="H99" s="93"/>
    </row>
    <row r="100" spans="1:8" ht="22.5" customHeight="1" x14ac:dyDescent="0.15">
      <c r="A100" s="92"/>
      <c r="H100" s="93"/>
    </row>
    <row r="101" spans="1:8" ht="22.5" customHeight="1" x14ac:dyDescent="0.15">
      <c r="A101" s="92"/>
      <c r="H101" s="93"/>
    </row>
    <row r="102" spans="1:8" ht="22.5" customHeight="1" thickBot="1" x14ac:dyDescent="0.2">
      <c r="A102" s="94"/>
      <c r="B102" s="95"/>
      <c r="C102" s="95"/>
      <c r="D102" s="95"/>
      <c r="E102" s="95"/>
      <c r="F102" s="95"/>
      <c r="G102" s="95"/>
      <c r="H102" s="96"/>
    </row>
    <row r="103" spans="1:8" s="113" customFormat="1" ht="40.5" customHeight="1" x14ac:dyDescent="0.15">
      <c r="A103" s="108" t="s">
        <v>208</v>
      </c>
    </row>
    <row r="104" spans="1:8" ht="22.5" customHeight="1" x14ac:dyDescent="0.15">
      <c r="A104" s="248">
        <f>管理者入力シート!B5</f>
        <v>2020</v>
      </c>
      <c r="B104" s="248"/>
      <c r="C104" s="20" t="s">
        <v>421</v>
      </c>
    </row>
    <row r="105" spans="1:8" ht="22.5" customHeight="1" x14ac:dyDescent="0.15">
      <c r="A105" s="20" t="s">
        <v>340</v>
      </c>
      <c r="F105" s="157"/>
      <c r="G105" s="157"/>
    </row>
    <row r="128" ht="22.5" customHeight="1" thickBot="1" x14ac:dyDescent="0.2"/>
    <row r="129" spans="1:8" ht="22.5" customHeight="1" x14ac:dyDescent="0.15">
      <c r="A129" s="198" t="s">
        <v>369</v>
      </c>
      <c r="B129" s="90"/>
      <c r="C129" s="90"/>
      <c r="D129" s="90"/>
      <c r="E129" s="90"/>
      <c r="F129" s="90"/>
      <c r="G129" s="90"/>
      <c r="H129" s="91"/>
    </row>
    <row r="130" spans="1:8" ht="22.5" customHeight="1" x14ac:dyDescent="0.15">
      <c r="A130" s="92" t="s">
        <v>313</v>
      </c>
      <c r="H130" s="93"/>
    </row>
    <row r="131" spans="1:8" ht="22.5" customHeight="1" x14ac:dyDescent="0.15">
      <c r="A131" s="92"/>
      <c r="H131" s="93"/>
    </row>
    <row r="132" spans="1:8" ht="22.5" customHeight="1" x14ac:dyDescent="0.15">
      <c r="A132" s="92"/>
      <c r="H132" s="93"/>
    </row>
    <row r="133" spans="1:8" ht="22.5" customHeight="1" x14ac:dyDescent="0.15">
      <c r="A133" s="92"/>
      <c r="H133" s="93"/>
    </row>
    <row r="134" spans="1:8" ht="22.5" customHeight="1" x14ac:dyDescent="0.15">
      <c r="A134" s="92"/>
      <c r="H134" s="93"/>
    </row>
    <row r="135" spans="1:8" ht="22.5" customHeight="1" thickBot="1" x14ac:dyDescent="0.2">
      <c r="A135" s="94"/>
      <c r="B135" s="95"/>
      <c r="C135" s="95"/>
      <c r="D135" s="95"/>
      <c r="E135" s="95"/>
      <c r="F135" s="95"/>
      <c r="G135" s="95"/>
      <c r="H135" s="96"/>
    </row>
    <row r="137" spans="1:8" s="113" customFormat="1" ht="40.5" customHeight="1" x14ac:dyDescent="0.15">
      <c r="A137" s="108" t="s">
        <v>314</v>
      </c>
    </row>
    <row r="138" spans="1:8" ht="22.5" customHeight="1" x14ac:dyDescent="0.15">
      <c r="A138" s="248">
        <f>管理者入力シート!B5</f>
        <v>2020</v>
      </c>
      <c r="B138" s="248"/>
      <c r="C138" s="20" t="s">
        <v>422</v>
      </c>
    </row>
    <row r="139" spans="1:8" ht="22.5" customHeight="1" x14ac:dyDescent="0.15">
      <c r="A139" s="20" t="s">
        <v>315</v>
      </c>
      <c r="C139" s="279">
        <f>管理者用地域特徴シート!CK5</f>
        <v>0.64094955489614247</v>
      </c>
      <c r="D139" s="279"/>
      <c r="E139" s="20" t="s">
        <v>316</v>
      </c>
      <c r="F139" s="157" t="str">
        <f>管理者入力シート!B3</f>
        <v>綾町</v>
      </c>
      <c r="G139" s="158" t="s">
        <v>317</v>
      </c>
    </row>
    <row r="140" spans="1:8" ht="22.5" customHeight="1" x14ac:dyDescent="0.15">
      <c r="A140" s="20" t="s">
        <v>318</v>
      </c>
    </row>
    <row r="141" spans="1:8" ht="22.5" customHeight="1" x14ac:dyDescent="0.15">
      <c r="C141" s="279">
        <f>管理者用地域特徴シート!CN5</f>
        <v>0.17647058823529413</v>
      </c>
      <c r="D141" s="279"/>
      <c r="E141" s="20" t="s">
        <v>316</v>
      </c>
      <c r="F141" s="157" t="str">
        <f>管理者入力シート!B3</f>
        <v>綾町</v>
      </c>
      <c r="G141" s="158" t="s">
        <v>317</v>
      </c>
    </row>
    <row r="142" spans="1:8" ht="22.5" customHeight="1" x14ac:dyDescent="0.15">
      <c r="A142" s="280" t="s">
        <v>319</v>
      </c>
      <c r="B142" s="280"/>
      <c r="C142" s="280"/>
      <c r="D142" s="280"/>
      <c r="E142" s="280"/>
      <c r="F142" s="280"/>
      <c r="G142" s="280"/>
      <c r="H142" s="280"/>
    </row>
    <row r="160" ht="22.5" customHeight="1" thickBot="1" x14ac:dyDescent="0.2"/>
    <row r="161" spans="1:8" ht="22.5" customHeight="1" x14ac:dyDescent="0.15">
      <c r="A161" s="89" t="s">
        <v>370</v>
      </c>
      <c r="B161" s="90"/>
      <c r="C161" s="90"/>
      <c r="D161" s="90"/>
      <c r="E161" s="90"/>
      <c r="F161" s="90"/>
      <c r="G161" s="90"/>
      <c r="H161" s="91"/>
    </row>
    <row r="162" spans="1:8" ht="22.5" customHeight="1" x14ac:dyDescent="0.15">
      <c r="A162" s="92" t="s">
        <v>321</v>
      </c>
      <c r="H162" s="93"/>
    </row>
    <row r="163" spans="1:8" ht="22.5" customHeight="1" x14ac:dyDescent="0.15">
      <c r="A163" s="92" t="s">
        <v>320</v>
      </c>
      <c r="H163" s="93"/>
    </row>
    <row r="164" spans="1:8" ht="22.5" customHeight="1" x14ac:dyDescent="0.15">
      <c r="A164" s="92"/>
      <c r="H164" s="93"/>
    </row>
    <row r="165" spans="1:8" ht="22.5" customHeight="1" x14ac:dyDescent="0.15">
      <c r="A165" s="92"/>
      <c r="H165" s="93"/>
    </row>
    <row r="166" spans="1:8" ht="22.5" customHeight="1" x14ac:dyDescent="0.15">
      <c r="A166" s="92"/>
      <c r="H166" s="93"/>
    </row>
    <row r="167" spans="1:8" ht="22.5" customHeight="1" x14ac:dyDescent="0.15">
      <c r="A167" s="92"/>
      <c r="H167" s="93"/>
    </row>
    <row r="168" spans="1:8" ht="22.5" customHeight="1" x14ac:dyDescent="0.15">
      <c r="A168" s="92"/>
      <c r="H168" s="93"/>
    </row>
    <row r="169" spans="1:8" ht="22.5" customHeight="1" x14ac:dyDescent="0.15">
      <c r="A169" s="92"/>
      <c r="H169" s="93"/>
    </row>
    <row r="170" spans="1:8" ht="22.5" customHeight="1" thickBot="1" x14ac:dyDescent="0.2">
      <c r="A170" s="94"/>
      <c r="B170" s="95"/>
      <c r="C170" s="95"/>
      <c r="D170" s="95"/>
      <c r="E170" s="95"/>
      <c r="F170" s="95"/>
      <c r="G170" s="95"/>
      <c r="H170" s="96"/>
    </row>
  </sheetData>
  <mergeCells count="21">
    <mergeCell ref="F7:G7"/>
    <mergeCell ref="A1:C2"/>
    <mergeCell ref="D1:H2"/>
    <mergeCell ref="A6:B6"/>
    <mergeCell ref="E73:F73"/>
    <mergeCell ref="F71:G71"/>
    <mergeCell ref="F72:G72"/>
    <mergeCell ref="A36:B36"/>
    <mergeCell ref="F37:G37"/>
    <mergeCell ref="E70:F70"/>
    <mergeCell ref="A11:B11"/>
    <mergeCell ref="C11:D11"/>
    <mergeCell ref="A12:B12"/>
    <mergeCell ref="C12:D12"/>
    <mergeCell ref="A13:B13"/>
    <mergeCell ref="C13:D13"/>
    <mergeCell ref="A138:B138"/>
    <mergeCell ref="C139:D139"/>
    <mergeCell ref="C141:D141"/>
    <mergeCell ref="A142:H142"/>
    <mergeCell ref="A104:B104"/>
  </mergeCells>
  <phoneticPr fontId="2"/>
  <printOptions horizontalCentered="1"/>
  <pageMargins left="0.70866141732283472" right="0.70866141732283472" top="0.74803149606299213" bottom="0.74803149606299213" header="0.31496062992125984" footer="0.31496062992125984"/>
  <pageSetup paperSize="9" scale="90" firstPageNumber="22" orientation="portrait" useFirstPageNumber="1" r:id="rId1"/>
  <headerFooter>
    <oddHeader>&amp;L&amp;"HG丸ｺﾞｼｯｸM-PRO,標準"&amp;16【&amp;A】</oddHeader>
    <oddFooter>&amp;C&amp;"HG丸ｺﾞｼｯｸM-PRO,標準"&amp;16 &amp;P</oddFooter>
  </headerFooter>
  <rowBreaks count="4" manualBreakCount="4">
    <brk id="34" max="7" man="1"/>
    <brk id="68" max="7" man="1"/>
    <brk id="102" max="7" man="1"/>
    <brk id="136" max="7"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4"/>
  <sheetViews>
    <sheetView zoomScale="85" zoomScaleNormal="85" workbookViewId="0"/>
  </sheetViews>
  <sheetFormatPr defaultColWidth="9" defaultRowHeight="22.5" customHeight="1" x14ac:dyDescent="0.15"/>
  <cols>
    <col min="1" max="1" width="11.5" style="20" customWidth="1"/>
    <col min="2" max="5" width="10" style="20" customWidth="1"/>
    <col min="6" max="6" width="10.75" style="20" customWidth="1"/>
    <col min="7" max="7" width="12.25" style="20" customWidth="1"/>
    <col min="8" max="8" width="14.625" style="20" customWidth="1"/>
    <col min="9" max="16384" width="9" style="20"/>
  </cols>
  <sheetData>
    <row r="1" spans="1:8" ht="22.5" customHeight="1" x14ac:dyDescent="0.15">
      <c r="A1" s="108" t="s">
        <v>331</v>
      </c>
      <c r="B1" s="169"/>
      <c r="C1" s="169"/>
    </row>
    <row r="2" spans="1:8" ht="22.5" customHeight="1" x14ac:dyDescent="0.15">
      <c r="A2" s="169"/>
      <c r="B2" s="169"/>
      <c r="C2" s="169"/>
    </row>
    <row r="3" spans="1:8" ht="22.5" customHeight="1" x14ac:dyDescent="0.15">
      <c r="A3" s="20" t="s">
        <v>332</v>
      </c>
    </row>
    <row r="4" spans="1:8" ht="22.5" customHeight="1" x14ac:dyDescent="0.15">
      <c r="A4" s="20" t="s">
        <v>335</v>
      </c>
    </row>
    <row r="5" spans="1:8" s="113" customFormat="1" ht="23.25" customHeight="1" thickBot="1" x14ac:dyDescent="0.2">
      <c r="A5" s="95" t="s">
        <v>334</v>
      </c>
      <c r="B5" s="175"/>
      <c r="C5" s="175"/>
      <c r="D5" s="175"/>
      <c r="E5" s="175"/>
      <c r="F5" s="175"/>
      <c r="G5" s="175"/>
      <c r="H5" s="175"/>
    </row>
    <row r="6" spans="1:8" ht="22.5" customHeight="1" x14ac:dyDescent="0.15">
      <c r="A6" s="172"/>
      <c r="B6" s="174"/>
      <c r="C6" s="90"/>
      <c r="D6" s="90"/>
      <c r="E6" s="90"/>
      <c r="F6" s="90"/>
      <c r="G6" s="90"/>
      <c r="H6" s="91"/>
    </row>
    <row r="7" spans="1:8" ht="22.5" customHeight="1" x14ac:dyDescent="0.15">
      <c r="A7" s="92"/>
      <c r="F7" s="170"/>
      <c r="G7" s="170"/>
      <c r="H7" s="93"/>
    </row>
    <row r="8" spans="1:8" ht="22.5" customHeight="1" x14ac:dyDescent="0.15">
      <c r="A8" s="171"/>
      <c r="D8" s="86"/>
      <c r="H8" s="93"/>
    </row>
    <row r="9" spans="1:8" ht="22.5" customHeight="1" x14ac:dyDescent="0.15">
      <c r="A9" s="92"/>
      <c r="D9" s="34"/>
      <c r="H9" s="93"/>
    </row>
    <row r="10" spans="1:8" ht="22.5" customHeight="1" x14ac:dyDescent="0.15">
      <c r="A10" s="92"/>
      <c r="H10" s="93"/>
    </row>
    <row r="11" spans="1:8" ht="22.5" customHeight="1" x14ac:dyDescent="0.15">
      <c r="A11" s="92"/>
      <c r="H11" s="93"/>
    </row>
    <row r="12" spans="1:8" ht="22.5" customHeight="1" x14ac:dyDescent="0.15">
      <c r="A12" s="92"/>
      <c r="H12" s="93"/>
    </row>
    <row r="13" spans="1:8" ht="22.5" customHeight="1" x14ac:dyDescent="0.15">
      <c r="A13" s="92"/>
      <c r="H13" s="93"/>
    </row>
    <row r="14" spans="1:8" ht="22.5" customHeight="1" x14ac:dyDescent="0.15">
      <c r="A14" s="92"/>
      <c r="H14" s="93"/>
    </row>
    <row r="15" spans="1:8" ht="22.5" customHeight="1" x14ac:dyDescent="0.15">
      <c r="A15" s="92"/>
      <c r="H15" s="93"/>
    </row>
    <row r="16" spans="1:8" ht="22.5" customHeight="1" x14ac:dyDescent="0.15">
      <c r="A16" s="92"/>
      <c r="H16" s="93"/>
    </row>
    <row r="17" spans="1:8" ht="22.5" customHeight="1" thickBot="1" x14ac:dyDescent="0.2">
      <c r="A17" s="94"/>
      <c r="B17" s="95"/>
      <c r="C17" s="95"/>
      <c r="D17" s="95"/>
      <c r="E17" s="95"/>
      <c r="F17" s="95"/>
      <c r="G17" s="95"/>
      <c r="H17" s="96"/>
    </row>
    <row r="19" spans="1:8" ht="22.5" customHeight="1" x14ac:dyDescent="0.15">
      <c r="A19" s="20" t="s">
        <v>336</v>
      </c>
    </row>
    <row r="20" spans="1:8" ht="22.5" customHeight="1" thickBot="1" x14ac:dyDescent="0.2">
      <c r="A20" s="20" t="s">
        <v>333</v>
      </c>
      <c r="G20" s="151"/>
      <c r="H20" s="35"/>
    </row>
    <row r="21" spans="1:8" ht="22.5" customHeight="1" x14ac:dyDescent="0.15">
      <c r="A21" s="172"/>
      <c r="B21" s="90"/>
      <c r="C21" s="90"/>
      <c r="D21" s="173"/>
      <c r="E21" s="90"/>
      <c r="F21" s="90"/>
      <c r="G21" s="90"/>
      <c r="H21" s="91"/>
    </row>
    <row r="22" spans="1:8" ht="22.5" customHeight="1" x14ac:dyDescent="0.15">
      <c r="A22" s="92"/>
      <c r="D22" s="34"/>
      <c r="H22" s="93"/>
    </row>
    <row r="23" spans="1:8" ht="22.5" customHeight="1" x14ac:dyDescent="0.15">
      <c r="A23" s="92"/>
      <c r="H23" s="93"/>
    </row>
    <row r="24" spans="1:8" ht="22.5" customHeight="1" x14ac:dyDescent="0.15">
      <c r="A24" s="92"/>
      <c r="H24" s="93"/>
    </row>
    <row r="25" spans="1:8" ht="22.5" customHeight="1" x14ac:dyDescent="0.15">
      <c r="A25" s="92"/>
      <c r="H25" s="93"/>
    </row>
    <row r="26" spans="1:8" ht="22.5" customHeight="1" x14ac:dyDescent="0.15">
      <c r="A26" s="92"/>
      <c r="H26" s="93"/>
    </row>
    <row r="27" spans="1:8" ht="22.5" customHeight="1" x14ac:dyDescent="0.15">
      <c r="A27" s="92"/>
      <c r="H27" s="93"/>
    </row>
    <row r="28" spans="1:8" ht="22.5" customHeight="1" x14ac:dyDescent="0.15">
      <c r="A28" s="92"/>
      <c r="H28" s="93"/>
    </row>
    <row r="29" spans="1:8" ht="22.5" customHeight="1" x14ac:dyDescent="0.15">
      <c r="A29" s="92"/>
      <c r="H29" s="93"/>
    </row>
    <row r="30" spans="1:8" ht="22.5" customHeight="1" x14ac:dyDescent="0.15">
      <c r="A30" s="92"/>
      <c r="H30" s="93"/>
    </row>
    <row r="31" spans="1:8" ht="22.5" customHeight="1" x14ac:dyDescent="0.15">
      <c r="A31" s="92"/>
      <c r="H31" s="93"/>
    </row>
    <row r="32" spans="1:8" ht="22.5" customHeight="1" x14ac:dyDescent="0.15">
      <c r="A32" s="92"/>
      <c r="H32" s="93"/>
    </row>
    <row r="33" spans="1:8" ht="22.5" customHeight="1" x14ac:dyDescent="0.15">
      <c r="A33" s="92"/>
      <c r="H33" s="93"/>
    </row>
    <row r="34" spans="1:8" ht="22.5" customHeight="1" thickBot="1" x14ac:dyDescent="0.2">
      <c r="A34" s="94"/>
      <c r="B34" s="95"/>
      <c r="C34" s="95"/>
      <c r="D34" s="95"/>
      <c r="E34" s="95"/>
      <c r="F34" s="95"/>
      <c r="G34" s="95"/>
      <c r="H34" s="96"/>
    </row>
  </sheetData>
  <phoneticPr fontId="2"/>
  <printOptions horizontalCentered="1"/>
  <pageMargins left="0.70866141732283472" right="0.70866141732283472" top="0.74803149606299213" bottom="0.74803149606299213" header="0.31496062992125984" footer="0.31496062992125984"/>
  <pageSetup paperSize="9" scale="90" firstPageNumber="27" orientation="portrait" useFirstPageNumber="1" r:id="rId1"/>
  <headerFooter>
    <oddHeader>&amp;L&amp;"HG丸ｺﾞｼｯｸM-PRO,標準"&amp;16【&amp;A】</oddHeader>
    <oddFooter>&amp;C&amp;"HG丸ｺﾞｼｯｸM-PRO,標準"&amp;16 &amp;P</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9"/>
  <sheetViews>
    <sheetView workbookViewId="0">
      <selection sqref="A1:A2"/>
    </sheetView>
  </sheetViews>
  <sheetFormatPr defaultColWidth="9" defaultRowHeight="13.5" x14ac:dyDescent="0.15"/>
  <cols>
    <col min="1" max="1" width="19.875" style="2" bestFit="1" customWidth="1"/>
    <col min="2" max="2" width="16.25" style="2" customWidth="1"/>
    <col min="3" max="16384" width="9" style="2"/>
  </cols>
  <sheetData>
    <row r="1" spans="1:3" x14ac:dyDescent="0.15">
      <c r="A1" s="19" t="s">
        <v>52</v>
      </c>
      <c r="B1" s="19" t="s">
        <v>53</v>
      </c>
    </row>
    <row r="2" spans="1:3" x14ac:dyDescent="0.15">
      <c r="A2" s="155" t="s">
        <v>376</v>
      </c>
      <c r="B2" s="31" t="s">
        <v>454</v>
      </c>
    </row>
    <row r="3" spans="1:3" x14ac:dyDescent="0.15">
      <c r="A3" s="202" t="s">
        <v>292</v>
      </c>
      <c r="B3" s="32" t="str">
        <f>管理者用地域特徴シート!B5</f>
        <v>綾町</v>
      </c>
    </row>
    <row r="4" spans="1:3" x14ac:dyDescent="0.15">
      <c r="A4" s="153" t="s">
        <v>24</v>
      </c>
      <c r="B4" s="154" t="str">
        <f>管理者用地域特徴シート!C5</f>
        <v>中堂四枝上畑地域</v>
      </c>
    </row>
    <row r="5" spans="1:3" x14ac:dyDescent="0.15">
      <c r="A5" s="22" t="s">
        <v>55</v>
      </c>
      <c r="B5" s="32">
        <v>2020</v>
      </c>
    </row>
    <row r="6" spans="1:3" x14ac:dyDescent="0.15">
      <c r="A6" s="22" t="s">
        <v>57</v>
      </c>
      <c r="B6" s="32">
        <f>B5-5</f>
        <v>2015</v>
      </c>
    </row>
    <row r="7" spans="1:3" x14ac:dyDescent="0.15">
      <c r="A7" s="22" t="s">
        <v>58</v>
      </c>
      <c r="B7" s="32">
        <f>B5-10</f>
        <v>2010</v>
      </c>
    </row>
    <row r="8" spans="1:3" x14ac:dyDescent="0.15">
      <c r="A8" s="22" t="s">
        <v>93</v>
      </c>
      <c r="B8" s="32">
        <f>B5+5</f>
        <v>2025</v>
      </c>
      <c r="C8" s="2" t="s">
        <v>100</v>
      </c>
    </row>
    <row r="9" spans="1:3" x14ac:dyDescent="0.15">
      <c r="A9" s="22" t="s">
        <v>94</v>
      </c>
      <c r="B9" s="32">
        <f>B5+10</f>
        <v>2030</v>
      </c>
      <c r="C9" s="2" t="s">
        <v>101</v>
      </c>
    </row>
    <row r="10" spans="1:3" x14ac:dyDescent="0.15">
      <c r="A10" s="22" t="s">
        <v>95</v>
      </c>
      <c r="B10" s="32">
        <f>B5+15</f>
        <v>2035</v>
      </c>
      <c r="C10" s="2" t="s">
        <v>102</v>
      </c>
    </row>
    <row r="11" spans="1:3" x14ac:dyDescent="0.15">
      <c r="A11" s="22" t="s">
        <v>96</v>
      </c>
      <c r="B11" s="32">
        <f>B5+20</f>
        <v>2040</v>
      </c>
      <c r="C11" s="2" t="s">
        <v>103</v>
      </c>
    </row>
    <row r="12" spans="1:3" x14ac:dyDescent="0.15">
      <c r="A12" s="22" t="s">
        <v>259</v>
      </c>
      <c r="B12" s="32">
        <f>B5+25</f>
        <v>2045</v>
      </c>
      <c r="C12" s="2" t="s">
        <v>261</v>
      </c>
    </row>
    <row r="13" spans="1:3" x14ac:dyDescent="0.15">
      <c r="A13" s="22" t="s">
        <v>260</v>
      </c>
      <c r="B13" s="32">
        <f>B5+30</f>
        <v>2050</v>
      </c>
      <c r="C13" s="2" t="s">
        <v>262</v>
      </c>
    </row>
    <row r="14" spans="1:3" x14ac:dyDescent="0.15">
      <c r="A14" s="22" t="s">
        <v>98</v>
      </c>
      <c r="B14" s="32">
        <v>2</v>
      </c>
      <c r="C14" s="2" t="s">
        <v>99</v>
      </c>
    </row>
    <row r="15" spans="1:3" x14ac:dyDescent="0.15">
      <c r="A15" s="22"/>
      <c r="B15" s="32"/>
    </row>
    <row r="16" spans="1:3" x14ac:dyDescent="0.15">
      <c r="A16" s="22"/>
      <c r="B16" s="32"/>
    </row>
    <row r="17" spans="1:2" x14ac:dyDescent="0.15">
      <c r="A17" s="22"/>
      <c r="B17" s="32"/>
    </row>
    <row r="18" spans="1:2" x14ac:dyDescent="0.15">
      <c r="A18" s="22"/>
      <c r="B18" s="32"/>
    </row>
    <row r="19" spans="1:2" x14ac:dyDescent="0.15">
      <c r="A19" s="22"/>
      <c r="B19" s="32"/>
    </row>
    <row r="20" spans="1:2" x14ac:dyDescent="0.15">
      <c r="A20" s="22"/>
      <c r="B20" s="32"/>
    </row>
    <row r="21" spans="1:2" x14ac:dyDescent="0.15">
      <c r="A21" s="22"/>
      <c r="B21" s="32"/>
    </row>
    <row r="22" spans="1:2" x14ac:dyDescent="0.15">
      <c r="A22" s="22"/>
      <c r="B22" s="32"/>
    </row>
    <row r="23" spans="1:2" x14ac:dyDescent="0.15">
      <c r="A23" s="22"/>
      <c r="B23" s="32"/>
    </row>
    <row r="24" spans="1:2" x14ac:dyDescent="0.15">
      <c r="A24" s="22"/>
      <c r="B24" s="32"/>
    </row>
    <row r="25" spans="1:2" x14ac:dyDescent="0.15">
      <c r="A25" s="22"/>
      <c r="B25" s="32"/>
    </row>
    <row r="26" spans="1:2" x14ac:dyDescent="0.15">
      <c r="A26" s="22"/>
      <c r="B26" s="32"/>
    </row>
    <row r="27" spans="1:2" x14ac:dyDescent="0.15">
      <c r="A27" s="22"/>
      <c r="B27" s="32"/>
    </row>
    <row r="28" spans="1:2" x14ac:dyDescent="0.15">
      <c r="A28" s="22"/>
      <c r="B28" s="32"/>
    </row>
    <row r="29" spans="1:2" x14ac:dyDescent="0.15">
      <c r="A29" s="22"/>
      <c r="B29" s="32"/>
    </row>
    <row r="30" spans="1:2" x14ac:dyDescent="0.15">
      <c r="A30" s="22"/>
      <c r="B30" s="32"/>
    </row>
    <row r="31" spans="1:2" x14ac:dyDescent="0.15">
      <c r="A31" s="22"/>
      <c r="B31" s="32"/>
    </row>
    <row r="32" spans="1:2" x14ac:dyDescent="0.15">
      <c r="A32" s="22"/>
      <c r="B32" s="32"/>
    </row>
    <row r="33" spans="1:2" x14ac:dyDescent="0.15">
      <c r="A33" s="22"/>
      <c r="B33" s="32"/>
    </row>
    <row r="34" spans="1:2" x14ac:dyDescent="0.15">
      <c r="A34" s="22"/>
      <c r="B34" s="32"/>
    </row>
    <row r="35" spans="1:2" x14ac:dyDescent="0.15">
      <c r="A35" s="22"/>
      <c r="B35" s="32"/>
    </row>
    <row r="36" spans="1:2" x14ac:dyDescent="0.15">
      <c r="A36" s="22"/>
      <c r="B36" s="32"/>
    </row>
    <row r="37" spans="1:2" x14ac:dyDescent="0.15">
      <c r="A37" s="22"/>
      <c r="B37" s="32"/>
    </row>
    <row r="38" spans="1:2" x14ac:dyDescent="0.15">
      <c r="A38" s="22"/>
      <c r="B38" s="32"/>
    </row>
    <row r="39" spans="1:2" x14ac:dyDescent="0.15">
      <c r="A39" s="23"/>
      <c r="B39" s="33"/>
    </row>
  </sheetData>
  <phoneticPr fontId="2"/>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B80"/>
  <sheetViews>
    <sheetView zoomScale="85" zoomScaleNormal="85" workbookViewId="0">
      <selection sqref="A1:A2"/>
    </sheetView>
  </sheetViews>
  <sheetFormatPr defaultColWidth="9" defaultRowHeight="13.5" x14ac:dyDescent="0.15"/>
  <cols>
    <col min="1" max="1" width="11.25" style="7" customWidth="1"/>
    <col min="2" max="32" width="9" style="2"/>
    <col min="33" max="33" width="2.375" style="2" customWidth="1"/>
    <col min="34" max="34" width="11.25" style="2" bestFit="1" customWidth="1"/>
    <col min="35" max="35" width="12.875" style="2" bestFit="1" customWidth="1"/>
    <col min="36" max="36" width="9" style="2"/>
    <col min="37" max="37" width="9.25" style="2" bestFit="1" customWidth="1"/>
    <col min="38" max="58" width="9" style="2"/>
    <col min="59" max="59" width="2" style="2" customWidth="1"/>
    <col min="60" max="60" width="11.25" style="7" customWidth="1"/>
    <col min="61" max="91" width="9" style="2"/>
    <col min="92" max="92" width="1.625" style="2" customWidth="1"/>
    <col min="93" max="93" width="11.25" style="7" customWidth="1"/>
    <col min="94" max="124" width="9" style="2"/>
    <col min="125" max="125" width="1.625" style="2" customWidth="1"/>
    <col min="126" max="127" width="11.25" style="7" customWidth="1"/>
    <col min="128" max="16384" width="9" style="2"/>
  </cols>
  <sheetData>
    <row r="1" spans="1:158" ht="13.5" customHeight="1" x14ac:dyDescent="0.15">
      <c r="A1" s="200" t="str">
        <f>管理者入力シート!B2</f>
        <v>45383_4</v>
      </c>
      <c r="B1" s="24" t="s">
        <v>44</v>
      </c>
      <c r="C1" s="25"/>
      <c r="D1" s="293" t="s">
        <v>0</v>
      </c>
      <c r="E1" s="293" t="s">
        <v>1</v>
      </c>
      <c r="F1" s="293" t="s">
        <v>2</v>
      </c>
      <c r="G1" s="293" t="s">
        <v>3</v>
      </c>
      <c r="H1" s="293" t="s">
        <v>4</v>
      </c>
      <c r="I1" s="293" t="s">
        <v>5</v>
      </c>
      <c r="J1" s="293" t="s">
        <v>6</v>
      </c>
      <c r="K1" s="293" t="s">
        <v>7</v>
      </c>
      <c r="L1" s="293" t="s">
        <v>8</v>
      </c>
      <c r="M1" s="293" t="s">
        <v>9</v>
      </c>
      <c r="N1" s="293" t="s">
        <v>10</v>
      </c>
      <c r="O1" s="293" t="s">
        <v>11</v>
      </c>
      <c r="P1" s="293" t="s">
        <v>12</v>
      </c>
      <c r="Q1" s="293" t="s">
        <v>13</v>
      </c>
      <c r="R1" s="293" t="s">
        <v>14</v>
      </c>
      <c r="S1" s="293" t="s">
        <v>15</v>
      </c>
      <c r="T1" s="293" t="s">
        <v>16</v>
      </c>
      <c r="U1" s="293" t="s">
        <v>17</v>
      </c>
      <c r="V1" s="293" t="s">
        <v>18</v>
      </c>
      <c r="W1" s="293" t="s">
        <v>19</v>
      </c>
      <c r="X1" s="293" t="s">
        <v>20</v>
      </c>
      <c r="Y1" s="293" t="s">
        <v>23</v>
      </c>
      <c r="Z1" s="294" t="s">
        <v>50</v>
      </c>
      <c r="AA1" s="294" t="s">
        <v>51</v>
      </c>
      <c r="AB1" s="297" t="s">
        <v>79</v>
      </c>
      <c r="AC1" s="297" t="s">
        <v>80</v>
      </c>
      <c r="AD1" s="294" t="s">
        <v>48</v>
      </c>
      <c r="AE1" s="294" t="s">
        <v>49</v>
      </c>
      <c r="AF1" s="294" t="s">
        <v>97</v>
      </c>
      <c r="AH1" s="7"/>
      <c r="AI1" s="42" t="s">
        <v>25</v>
      </c>
      <c r="AJ1" s="40" t="s">
        <v>90</v>
      </c>
      <c r="AK1" s="41"/>
      <c r="AL1" s="296" t="s">
        <v>89</v>
      </c>
      <c r="AM1" s="295" t="s">
        <v>27</v>
      </c>
      <c r="AN1" s="295" t="s">
        <v>28</v>
      </c>
      <c r="AO1" s="295" t="s">
        <v>26</v>
      </c>
      <c r="AP1" s="295" t="s">
        <v>29</v>
      </c>
      <c r="AQ1" s="295" t="s">
        <v>30</v>
      </c>
      <c r="AR1" s="295" t="s">
        <v>31</v>
      </c>
      <c r="AS1" s="295" t="s">
        <v>32</v>
      </c>
      <c r="AT1" s="295" t="s">
        <v>33</v>
      </c>
      <c r="AU1" s="295" t="s">
        <v>34</v>
      </c>
      <c r="AV1" s="295" t="s">
        <v>35</v>
      </c>
      <c r="AW1" s="295" t="s">
        <v>36</v>
      </c>
      <c r="AX1" s="295" t="s">
        <v>37</v>
      </c>
      <c r="AY1" s="295" t="s">
        <v>38</v>
      </c>
      <c r="AZ1" s="295" t="s">
        <v>39</v>
      </c>
      <c r="BA1" s="295" t="s">
        <v>40</v>
      </c>
      <c r="BB1" s="295" t="s">
        <v>45</v>
      </c>
      <c r="BC1" s="295" t="s">
        <v>41</v>
      </c>
      <c r="BD1" s="295" t="s">
        <v>42</v>
      </c>
      <c r="BE1" s="295" t="s">
        <v>46</v>
      </c>
      <c r="BF1" s="295" t="s">
        <v>43</v>
      </c>
      <c r="BI1" s="56" t="s">
        <v>44</v>
      </c>
      <c r="BJ1" s="57"/>
      <c r="BK1" s="299" t="s">
        <v>0</v>
      </c>
      <c r="BL1" s="299" t="s">
        <v>1</v>
      </c>
      <c r="BM1" s="299" t="s">
        <v>2</v>
      </c>
      <c r="BN1" s="299" t="s">
        <v>3</v>
      </c>
      <c r="BO1" s="299" t="s">
        <v>4</v>
      </c>
      <c r="BP1" s="299" t="s">
        <v>5</v>
      </c>
      <c r="BQ1" s="299" t="s">
        <v>6</v>
      </c>
      <c r="BR1" s="299" t="s">
        <v>7</v>
      </c>
      <c r="BS1" s="299" t="s">
        <v>8</v>
      </c>
      <c r="BT1" s="299" t="s">
        <v>9</v>
      </c>
      <c r="BU1" s="299" t="s">
        <v>10</v>
      </c>
      <c r="BV1" s="299" t="s">
        <v>11</v>
      </c>
      <c r="BW1" s="299" t="s">
        <v>12</v>
      </c>
      <c r="BX1" s="299" t="s">
        <v>13</v>
      </c>
      <c r="BY1" s="299" t="s">
        <v>14</v>
      </c>
      <c r="BZ1" s="299" t="s">
        <v>15</v>
      </c>
      <c r="CA1" s="299" t="s">
        <v>16</v>
      </c>
      <c r="CB1" s="299" t="s">
        <v>17</v>
      </c>
      <c r="CC1" s="299" t="s">
        <v>18</v>
      </c>
      <c r="CD1" s="299" t="s">
        <v>19</v>
      </c>
      <c r="CE1" s="299" t="s">
        <v>20</v>
      </c>
      <c r="CF1" s="299" t="s">
        <v>23</v>
      </c>
      <c r="CG1" s="300" t="s">
        <v>50</v>
      </c>
      <c r="CH1" s="300" t="s">
        <v>51</v>
      </c>
      <c r="CI1" s="302" t="s">
        <v>79</v>
      </c>
      <c r="CJ1" s="302" t="s">
        <v>80</v>
      </c>
      <c r="CK1" s="300" t="s">
        <v>48</v>
      </c>
      <c r="CL1" s="300" t="s">
        <v>49</v>
      </c>
      <c r="CM1" s="300" t="s">
        <v>97</v>
      </c>
      <c r="CP1" s="74" t="s">
        <v>44</v>
      </c>
      <c r="CQ1" s="75"/>
      <c r="CR1" s="301" t="s">
        <v>0</v>
      </c>
      <c r="CS1" s="301" t="s">
        <v>1</v>
      </c>
      <c r="CT1" s="301" t="s">
        <v>2</v>
      </c>
      <c r="CU1" s="301" t="s">
        <v>3</v>
      </c>
      <c r="CV1" s="301" t="s">
        <v>4</v>
      </c>
      <c r="CW1" s="301" t="s">
        <v>5</v>
      </c>
      <c r="CX1" s="301" t="s">
        <v>6</v>
      </c>
      <c r="CY1" s="301" t="s">
        <v>7</v>
      </c>
      <c r="CZ1" s="301" t="s">
        <v>8</v>
      </c>
      <c r="DA1" s="301" t="s">
        <v>9</v>
      </c>
      <c r="DB1" s="301" t="s">
        <v>10</v>
      </c>
      <c r="DC1" s="301" t="s">
        <v>11</v>
      </c>
      <c r="DD1" s="301" t="s">
        <v>12</v>
      </c>
      <c r="DE1" s="301" t="s">
        <v>13</v>
      </c>
      <c r="DF1" s="301" t="s">
        <v>14</v>
      </c>
      <c r="DG1" s="301" t="s">
        <v>15</v>
      </c>
      <c r="DH1" s="301" t="s">
        <v>16</v>
      </c>
      <c r="DI1" s="301" t="s">
        <v>17</v>
      </c>
      <c r="DJ1" s="301" t="s">
        <v>18</v>
      </c>
      <c r="DK1" s="301" t="s">
        <v>19</v>
      </c>
      <c r="DL1" s="301" t="s">
        <v>20</v>
      </c>
      <c r="DM1" s="301" t="s">
        <v>23</v>
      </c>
      <c r="DN1" s="304" t="s">
        <v>50</v>
      </c>
      <c r="DO1" s="304" t="s">
        <v>51</v>
      </c>
      <c r="DP1" s="305" t="s">
        <v>79</v>
      </c>
      <c r="DQ1" s="305" t="s">
        <v>80</v>
      </c>
      <c r="DR1" s="304" t="s">
        <v>48</v>
      </c>
      <c r="DS1" s="304" t="s">
        <v>49</v>
      </c>
      <c r="DT1" s="304" t="s">
        <v>97</v>
      </c>
      <c r="DV1" s="288" t="s">
        <v>455</v>
      </c>
      <c r="DW1" s="289"/>
      <c r="DX1" s="284">
        <f>DW17</f>
        <v>7</v>
      </c>
      <c r="DY1" s="285"/>
      <c r="DZ1" s="290" t="s">
        <v>0</v>
      </c>
      <c r="EA1" s="290" t="s">
        <v>1</v>
      </c>
      <c r="EB1" s="290" t="s">
        <v>2</v>
      </c>
      <c r="EC1" s="290" t="s">
        <v>3</v>
      </c>
      <c r="ED1" s="290" t="s">
        <v>4</v>
      </c>
      <c r="EE1" s="290" t="s">
        <v>5</v>
      </c>
      <c r="EF1" s="290" t="s">
        <v>6</v>
      </c>
      <c r="EG1" s="290" t="s">
        <v>7</v>
      </c>
      <c r="EH1" s="290" t="s">
        <v>8</v>
      </c>
      <c r="EI1" s="290" t="s">
        <v>9</v>
      </c>
      <c r="EJ1" s="290" t="s">
        <v>10</v>
      </c>
      <c r="EK1" s="290" t="s">
        <v>11</v>
      </c>
      <c r="EL1" s="290" t="s">
        <v>12</v>
      </c>
      <c r="EM1" s="290" t="s">
        <v>13</v>
      </c>
      <c r="EN1" s="290" t="s">
        <v>14</v>
      </c>
      <c r="EO1" s="290" t="s">
        <v>15</v>
      </c>
      <c r="EP1" s="290" t="s">
        <v>16</v>
      </c>
      <c r="EQ1" s="290" t="s">
        <v>17</v>
      </c>
      <c r="ER1" s="290" t="s">
        <v>18</v>
      </c>
      <c r="ES1" s="290" t="s">
        <v>19</v>
      </c>
      <c r="ET1" s="290" t="s">
        <v>20</v>
      </c>
      <c r="EU1" s="290" t="s">
        <v>23</v>
      </c>
      <c r="EV1" s="283" t="s">
        <v>50</v>
      </c>
      <c r="EW1" s="283" t="s">
        <v>51</v>
      </c>
      <c r="EX1" s="291" t="s">
        <v>79</v>
      </c>
      <c r="EY1" s="291" t="s">
        <v>80</v>
      </c>
      <c r="EZ1" s="283" t="s">
        <v>48</v>
      </c>
      <c r="FA1" s="283" t="s">
        <v>49</v>
      </c>
      <c r="FB1" s="283" t="s">
        <v>97</v>
      </c>
    </row>
    <row r="2" spans="1:158" x14ac:dyDescent="0.15">
      <c r="A2" s="7" t="s">
        <v>56</v>
      </c>
      <c r="B2" s="26"/>
      <c r="C2" s="27"/>
      <c r="D2" s="293"/>
      <c r="E2" s="293"/>
      <c r="F2" s="293"/>
      <c r="G2" s="293"/>
      <c r="H2" s="293"/>
      <c r="I2" s="293"/>
      <c r="J2" s="293"/>
      <c r="K2" s="293"/>
      <c r="L2" s="293"/>
      <c r="M2" s="293"/>
      <c r="N2" s="293"/>
      <c r="O2" s="293"/>
      <c r="P2" s="293"/>
      <c r="Q2" s="293"/>
      <c r="R2" s="293"/>
      <c r="S2" s="293"/>
      <c r="T2" s="293"/>
      <c r="U2" s="293"/>
      <c r="V2" s="293"/>
      <c r="W2" s="293"/>
      <c r="X2" s="293"/>
      <c r="Y2" s="293"/>
      <c r="Z2" s="294"/>
      <c r="AA2" s="294"/>
      <c r="AB2" s="298"/>
      <c r="AC2" s="298"/>
      <c r="AD2" s="294"/>
      <c r="AE2" s="294"/>
      <c r="AF2" s="294"/>
      <c r="AI2" s="43"/>
      <c r="AJ2" s="44"/>
      <c r="AK2" s="45"/>
      <c r="AL2" s="296"/>
      <c r="AM2" s="295"/>
      <c r="AN2" s="295"/>
      <c r="AO2" s="295"/>
      <c r="AP2" s="295"/>
      <c r="AQ2" s="295"/>
      <c r="AR2" s="295"/>
      <c r="AS2" s="295"/>
      <c r="AT2" s="295"/>
      <c r="AU2" s="295"/>
      <c r="AV2" s="295"/>
      <c r="AW2" s="295"/>
      <c r="AX2" s="295"/>
      <c r="AY2" s="295"/>
      <c r="AZ2" s="295"/>
      <c r="BA2" s="295"/>
      <c r="BB2" s="295"/>
      <c r="BC2" s="295"/>
      <c r="BD2" s="295"/>
      <c r="BE2" s="295"/>
      <c r="BF2" s="295"/>
      <c r="BH2" s="7" t="s">
        <v>56</v>
      </c>
      <c r="BI2" s="58" t="s">
        <v>116</v>
      </c>
      <c r="BJ2" s="59"/>
      <c r="BK2" s="299"/>
      <c r="BL2" s="299"/>
      <c r="BM2" s="299"/>
      <c r="BN2" s="299"/>
      <c r="BO2" s="299"/>
      <c r="BP2" s="299"/>
      <c r="BQ2" s="299"/>
      <c r="BR2" s="299"/>
      <c r="BS2" s="299"/>
      <c r="BT2" s="299"/>
      <c r="BU2" s="299"/>
      <c r="BV2" s="299"/>
      <c r="BW2" s="299"/>
      <c r="BX2" s="299"/>
      <c r="BY2" s="299"/>
      <c r="BZ2" s="299"/>
      <c r="CA2" s="299"/>
      <c r="CB2" s="299"/>
      <c r="CC2" s="299"/>
      <c r="CD2" s="299"/>
      <c r="CE2" s="299"/>
      <c r="CF2" s="299"/>
      <c r="CG2" s="300"/>
      <c r="CH2" s="300"/>
      <c r="CI2" s="303"/>
      <c r="CJ2" s="303"/>
      <c r="CK2" s="300"/>
      <c r="CL2" s="300"/>
      <c r="CM2" s="300"/>
      <c r="CO2" s="7" t="s">
        <v>56</v>
      </c>
      <c r="CP2" s="76" t="s">
        <v>117</v>
      </c>
      <c r="CQ2" s="77"/>
      <c r="CR2" s="301"/>
      <c r="CS2" s="301"/>
      <c r="CT2" s="301"/>
      <c r="CU2" s="301"/>
      <c r="CV2" s="301"/>
      <c r="CW2" s="301"/>
      <c r="CX2" s="301"/>
      <c r="CY2" s="301"/>
      <c r="CZ2" s="301"/>
      <c r="DA2" s="301"/>
      <c r="DB2" s="301"/>
      <c r="DC2" s="301"/>
      <c r="DD2" s="301"/>
      <c r="DE2" s="301"/>
      <c r="DF2" s="301"/>
      <c r="DG2" s="301"/>
      <c r="DH2" s="301"/>
      <c r="DI2" s="301"/>
      <c r="DJ2" s="301"/>
      <c r="DK2" s="301"/>
      <c r="DL2" s="301"/>
      <c r="DM2" s="301"/>
      <c r="DN2" s="304"/>
      <c r="DO2" s="304"/>
      <c r="DP2" s="306"/>
      <c r="DQ2" s="306"/>
      <c r="DR2" s="304"/>
      <c r="DS2" s="304"/>
      <c r="DT2" s="304"/>
      <c r="DV2" s="288"/>
      <c r="DW2" s="289"/>
      <c r="DX2" s="286"/>
      <c r="DY2" s="287"/>
      <c r="DZ2" s="290"/>
      <c r="EA2" s="290"/>
      <c r="EB2" s="290"/>
      <c r="EC2" s="290"/>
      <c r="ED2" s="290"/>
      <c r="EE2" s="290"/>
      <c r="EF2" s="290"/>
      <c r="EG2" s="290"/>
      <c r="EH2" s="290"/>
      <c r="EI2" s="290"/>
      <c r="EJ2" s="290"/>
      <c r="EK2" s="290"/>
      <c r="EL2" s="290"/>
      <c r="EM2" s="290"/>
      <c r="EN2" s="290"/>
      <c r="EO2" s="290"/>
      <c r="EP2" s="290"/>
      <c r="EQ2" s="290"/>
      <c r="ER2" s="290"/>
      <c r="ES2" s="290"/>
      <c r="ET2" s="290"/>
      <c r="EU2" s="290"/>
      <c r="EV2" s="283"/>
      <c r="EW2" s="283"/>
      <c r="EX2" s="292"/>
      <c r="EY2" s="292"/>
      <c r="EZ2" s="283"/>
      <c r="FA2" s="283"/>
      <c r="FB2" s="283"/>
    </row>
    <row r="3" spans="1:158" x14ac:dyDescent="0.15">
      <c r="A3" s="7" t="str">
        <f>B3&amp;"_"&amp;IF(C3="男性",1,IF(C3="女性",2,IF(C3="合計",3)))</f>
        <v>2005_1</v>
      </c>
      <c r="B3" s="28">
        <v>2005</v>
      </c>
      <c r="C3" s="3" t="s">
        <v>21</v>
      </c>
      <c r="D3" s="184">
        <v>10</v>
      </c>
      <c r="E3" s="9">
        <v>15</v>
      </c>
      <c r="F3" s="9">
        <v>25</v>
      </c>
      <c r="G3" s="9">
        <v>21</v>
      </c>
      <c r="H3" s="9">
        <v>9</v>
      </c>
      <c r="I3" s="9">
        <v>14</v>
      </c>
      <c r="J3" s="9">
        <v>14</v>
      </c>
      <c r="K3" s="9">
        <v>25</v>
      </c>
      <c r="L3" s="9">
        <v>25</v>
      </c>
      <c r="M3" s="9">
        <v>27</v>
      </c>
      <c r="N3" s="9">
        <v>31</v>
      </c>
      <c r="O3" s="9">
        <v>39</v>
      </c>
      <c r="P3" s="9">
        <v>24</v>
      </c>
      <c r="Q3" s="9">
        <v>28</v>
      </c>
      <c r="R3" s="9">
        <v>37</v>
      </c>
      <c r="S3" s="9">
        <v>29</v>
      </c>
      <c r="T3" s="9">
        <v>12</v>
      </c>
      <c r="U3" s="9">
        <v>8</v>
      </c>
      <c r="V3" s="9">
        <v>1</v>
      </c>
      <c r="W3" s="9">
        <v>2</v>
      </c>
      <c r="X3" s="9">
        <v>0</v>
      </c>
      <c r="Y3" s="9">
        <f>SUM(D3:X3)</f>
        <v>396</v>
      </c>
      <c r="Z3" s="9">
        <f>E3*3/5+F3*3/5</f>
        <v>24</v>
      </c>
      <c r="AA3" s="9">
        <f>F3*2/5+G3*1/5</f>
        <v>14.2</v>
      </c>
      <c r="AB3" s="9">
        <f t="shared" ref="AB3:AB20" si="0">SUM(Q3:X3)</f>
        <v>117</v>
      </c>
      <c r="AC3" s="9">
        <f>SUM(S3:X3)</f>
        <v>52</v>
      </c>
      <c r="AD3" s="13">
        <f>AB3/Y3</f>
        <v>0.29545454545454547</v>
      </c>
      <c r="AE3" s="13">
        <f>AC3/Y3</f>
        <v>0.13131313131313133</v>
      </c>
      <c r="AF3" s="9">
        <f>SUM(H3:K3)</f>
        <v>62</v>
      </c>
      <c r="AH3" s="7"/>
      <c r="AI3" s="28" t="s">
        <v>87</v>
      </c>
      <c r="AJ3" s="3">
        <f>管理者入力シート!B6</f>
        <v>2015</v>
      </c>
      <c r="AK3" s="3">
        <f>管理者入力シート!B5</f>
        <v>2020</v>
      </c>
      <c r="AL3" s="31" t="s">
        <v>21</v>
      </c>
      <c r="AM3" s="6">
        <f>IF(AND(VLOOKUP($AJ3&amp;"_1",$A:$X,AM$9,FALSE)&lt;1,VLOOKUP($AK3&amp;"_1",$A:$X,AM$10,FALSE)&lt;1),1,IF(AND(VLOOKUP($AJ3&amp;"_1",$A:$X,AM$9,FALSE)&lt;1,VLOOKUP($AK3&amp;"_1",$A:$X,AM$10,FALSE)&gt;=1),VLOOKUP($AK3&amp;"_1",$A:$X,AM$10,FALSE)/1,IF(AND(VLOOKUP($AJ3&amp;"_1",$A:$X,AM$9,FALSE)&gt;=1,VLOOKUP($AK3&amp;"_1",$A:$X,AM$10,FALSE)&lt;1),1/VLOOKUP($AJ3&amp;"_1",$A:$X,AM$9,FALSE),IF(AND(VLOOKUP($AJ3&amp;"_1",$A:$X,AM$9,FALSE)&gt;=1,VLOOKUP($AK3&amp;"_1",$A:$X,AM$10,FALSE)&gt;=1),VLOOKUP($AK3&amp;"_1",$A:$X,AM$10,FALSE)/VLOOKUP($AJ3&amp;"_1",$A:$X,AM$9,FALSE)))))</f>
        <v>0.76190476190476186</v>
      </c>
      <c r="AN3" s="6">
        <f t="shared" ref="AN3:BD5" si="1">IF(AND(VLOOKUP($AJ3&amp;"_1",$A:$X,AN$9,FALSE)&lt;1,VLOOKUP($AK3&amp;"_1",$A:$X,AN$10,FALSE)&lt;1),1,IF(AND(VLOOKUP($AJ3&amp;"_1",$A:$X,AN$9,FALSE)&lt;1,VLOOKUP($AK3&amp;"_1",$A:$X,AN$10,FALSE)&gt;=1),VLOOKUP($AK3&amp;"_1",$A:$X,AN$10,FALSE)/1,IF(AND(VLOOKUP($AJ3&amp;"_1",$A:$X,AN$9,FALSE)&gt;=1,VLOOKUP($AK3&amp;"_1",$A:$X,AN$10,FALSE)&lt;1),1/VLOOKUP($AJ3&amp;"_1",$A:$X,AN$9,FALSE),IF(AND(VLOOKUP($AJ3&amp;"_1",$A:$X,AN$9,FALSE)&gt;=1,VLOOKUP($AK3&amp;"_1",$A:$X,AN$10,FALSE)&gt;=1),VLOOKUP($AK3&amp;"_1",$A:$X,AN$10,FALSE)/VLOOKUP($AJ3&amp;"_1",$A:$X,AN$9,FALSE)))))</f>
        <v>1.0555555555555556</v>
      </c>
      <c r="AO3" s="6">
        <f t="shared" si="1"/>
        <v>0.72727272727272729</v>
      </c>
      <c r="AP3" s="6">
        <f t="shared" si="1"/>
        <v>0.55555555555555558</v>
      </c>
      <c r="AQ3" s="6">
        <f t="shared" si="1"/>
        <v>0.63636363636363635</v>
      </c>
      <c r="AR3" s="6">
        <f t="shared" si="1"/>
        <v>0.375</v>
      </c>
      <c r="AS3" s="6">
        <f t="shared" si="1"/>
        <v>1.1428571428571428</v>
      </c>
      <c r="AT3" s="6">
        <f t="shared" si="1"/>
        <v>1</v>
      </c>
      <c r="AU3" s="6">
        <f t="shared" si="1"/>
        <v>1.1428571428571428</v>
      </c>
      <c r="AV3" s="6">
        <f t="shared" si="1"/>
        <v>1</v>
      </c>
      <c r="AW3" s="6">
        <f t="shared" si="1"/>
        <v>0.91666666666666663</v>
      </c>
      <c r="AX3" s="6">
        <f t="shared" si="1"/>
        <v>1.2173913043478262</v>
      </c>
      <c r="AY3" s="6">
        <f t="shared" si="1"/>
        <v>0.93939393939393945</v>
      </c>
      <c r="AZ3" s="6">
        <f t="shared" si="1"/>
        <v>0.9</v>
      </c>
      <c r="BA3" s="6">
        <f t="shared" si="1"/>
        <v>0.95652173913043481</v>
      </c>
      <c r="BB3" s="6">
        <f t="shared" si="1"/>
        <v>0.73076923076923073</v>
      </c>
      <c r="BC3" s="6">
        <f t="shared" si="1"/>
        <v>0.70833333333333337</v>
      </c>
      <c r="BD3" s="6">
        <f t="shared" si="1"/>
        <v>0.38461538461538464</v>
      </c>
      <c r="BE3" s="6">
        <f>IF(AND(VLOOKUP($AJ3&amp;"_1",$A:$X,BE$9,FALSE)&lt;1,VLOOKUP($AK3&amp;"_1",$A:$X,BE$10,FALSE)&lt;1),0,IF(AND(VLOOKUP($AJ3&amp;"_1",$A:$X,BE$9,FALSE)&lt;1,VLOOKUP($AK3&amp;"_1",$A:$X,BE$10,FALSE)&gt;=1),VLOOKUP($AK3&amp;"_1",$A:$X,BE$10,FALSE)/1,IF(AND(VLOOKUP($AJ3&amp;"_1",$A:$X,BE$9,FALSE)&gt;=1,VLOOKUP($AK3&amp;"_1",$A:$X,BE$10,FALSE)&lt;1),0,IF(AND(VLOOKUP($AJ3&amp;"_1",$A:$X,BE$9,FALSE)&gt;=1,VLOOKUP($AK3&amp;"_1",$A:$X,BE$10,FALSE)&gt;=1),VLOOKUP($AK3&amp;"_1",$A:$X,BE$10,FALSE)/VLOOKUP($AJ3&amp;"_1",$A:$X,BE$9,FALSE)))))</f>
        <v>0</v>
      </c>
      <c r="BF3" s="6">
        <f>IF(AND(VLOOKUP($AJ3&amp;"_1",$A:$X,BF$9,FALSE)&lt;1,VLOOKUP($AK3&amp;"_1",$A:$X,BF$10,FALSE)&lt;1),0,IF(AND(VLOOKUP($AJ3&amp;"_1",$A:$X,BF$9,FALSE)&lt;1,VLOOKUP($AK3&amp;"_1",$A:$X,BF$10,FALSE)&gt;=1),VLOOKUP($AK3&amp;"_1",$A:$X,BF$10,FALSE)/1,IF(AND(VLOOKUP($AJ3&amp;"_1",$A:$X,BF$9,FALSE)&gt;=1,VLOOKUP($AK3&amp;"_1",$A:$X,BF$10,FALSE)&lt;1),0,IF(AND(VLOOKUP($AJ3&amp;"_1",$A:$X,BF$9,FALSE)&gt;=1,VLOOKUP($AK3&amp;"_1",$A:$X,BF$10,FALSE)&gt;=1),VLOOKUP($AK3&amp;"_1",$A:$X,BF$10,FALSE)/VLOOKUP($AJ3&amp;"_1",$A:$X,BF$9,FALSE)))))</f>
        <v>0</v>
      </c>
      <c r="BH3" s="7" t="str">
        <f>BI3&amp;"_"&amp;IF(BJ3="男性",1,IF(BJ3="女性",2,IF(BJ3="合計",3)))</f>
        <v>2025_1</v>
      </c>
      <c r="BI3" s="28">
        <f>管理者入力シート!B8</f>
        <v>2025</v>
      </c>
      <c r="BJ3" s="3" t="s">
        <v>21</v>
      </c>
      <c r="BK3" s="9">
        <f>CM4*AK$13</f>
        <v>5.2636472611436682</v>
      </c>
      <c r="BL3" s="9">
        <f>IF(管理者入力シート!$B$14=1,VLOOKUP(管理者入力シート!$B$5&amp;"_1",管理者用人口入力シート!$A:$X,管理者用人口入力シート!BL$21,FALSE)*管理者用人口入力シート!AM$3,IF(管理者入力シート!$B$14=2,VLOOKUP(管理者入力シート!$B$5&amp;"_1",管理者用人口入力シート!$A:$X,管理者用人口入力シート!BL$21,FALSE)*管理者用人口入力シート!AM$7))</f>
        <v>8.6409875978771478</v>
      </c>
      <c r="BM3" s="9">
        <f>IF(管理者入力シート!$B$14=1,VLOOKUP(管理者入力シート!$B$5&amp;"_1",管理者用人口入力シート!$A:$X,管理者用人口入力シート!BM$21,FALSE)*管理者用人口入力シート!AN$3,IF(管理者入力シート!$B$14=2,VLOOKUP(管理者入力シート!$B$5&amp;"_1",管理者用人口入力シート!$A:$X,管理者用人口入力シート!BM$21,FALSE)*管理者用人口入力シート!AN$7))</f>
        <v>18.173376266898554</v>
      </c>
      <c r="BN3" s="9">
        <f>IF(管理者入力シート!$B$14=1,VLOOKUP(管理者入力シート!$B$5&amp;"_1",管理者用人口入力シート!$A:$X,管理者用人口入力シート!BN$21,FALSE)*管理者用人口入力シート!AO$3,IF(管理者入力シート!$B$14=2,VLOOKUP(管理者入力シート!$B$5&amp;"_1",管理者用人口入力シート!$A:$X,管理者用人口入力シート!BN$21,FALSE)*管理者用人口入力シート!AO$7))</f>
        <v>12.991505716398727</v>
      </c>
      <c r="BO3" s="9">
        <f>IF(管理者入力シート!$B$14=1,VLOOKUP(管理者入力シート!$B$5&amp;"_1",管理者用人口入力シート!$A:$X,管理者用人口入力シート!BO$21,FALSE)*管理者用人口入力シート!AP$3,IF(管理者入力シート!$B$14=2,VLOOKUP(管理者入力シート!$B$5&amp;"_1",管理者用人口入力シート!$A:$X,管理者用人口入力シート!BO$21,FALSE)*管理者用人口入力シート!AP$7))</f>
        <v>4.3155924998009976</v>
      </c>
      <c r="BP3" s="9">
        <f>IF(管理者入力シート!$B$14=1,VLOOKUP(管理者入力シート!$B$5&amp;"_1",管理者用人口入力シート!$A:$X,管理者用人口入力シート!BP$21,FALSE)*管理者用人口入力シート!AQ$3,IF(管理者入力シート!$B$14=2,VLOOKUP(管理者入力シート!$B$5&amp;"_1",管理者用人口入力シート!$A:$X,管理者用人口入力シート!BP$21,FALSE)*管理者用人口入力シート!AQ$7))</f>
        <v>2.9128763250176766</v>
      </c>
      <c r="BQ3" s="9">
        <f>IF(管理者入力シート!$B$14=1,VLOOKUP(管理者入力シート!$B$5&amp;"_1",管理者用人口入力シート!$A:$X,管理者用人口入力シート!BQ$21,FALSE)*管理者用人口入力シート!AR$3,IF(管理者入力シート!$B$14=2,VLOOKUP(管理者入力シート!$B$5&amp;"_1",管理者用人口入力シート!$A:$X,管理者用人口入力シート!BQ$21,FALSE)*管理者用人口入力シート!AR$7))</f>
        <v>4.630064794363034</v>
      </c>
      <c r="BR3" s="9">
        <f>IF(管理者入力シート!$B$14=1,VLOOKUP(管理者入力シート!$B$5&amp;"_1",管理者用人口入力シート!$A:$X,管理者用人口入力シート!BR$21,FALSE)*管理者用人口入力シート!AS$3,IF(管理者入力シート!$B$14=2,VLOOKUP(管理者入力シート!$B$5&amp;"_1",管理者用人口入力シート!$A:$X,管理者用人口入力シート!BR$21,FALSE)*管理者用人口入力シート!AS$7))</f>
        <v>3.3197000110349286</v>
      </c>
      <c r="BS3" s="9">
        <f>IF(管理者入力シート!$B$14=1,VLOOKUP(管理者入力シート!$B$5&amp;"_1",管理者用人口入力シート!$A:$X,管理者用人口入力シート!BS$21,FALSE)*管理者用人口入力シート!AT$3,IF(管理者入力シート!$B$14=2,VLOOKUP(管理者入力シート!$B$5&amp;"_1",管理者用人口入力シート!$A:$X,管理者用人口入力シート!BS$21,FALSE)*管理者用人口入力シート!AT$7))</f>
        <v>22.107176950648238</v>
      </c>
      <c r="BT3" s="9">
        <f>IF(管理者入力シート!$B$14=1,VLOOKUP(管理者入力シート!$B$5&amp;"_1",管理者用人口入力シート!$A:$X,管理者用人口入力シート!BT$21,FALSE)*管理者用人口入力シート!AU$3,IF(管理者入力シート!$B$14=2,VLOOKUP(管理者入力シート!$B$5&amp;"_1",管理者用人口入力シート!$A:$X,管理者用人口入力シート!BT$21,FALSE)*管理者用人口入力シート!AU$7))</f>
        <v>14.696938456699067</v>
      </c>
      <c r="BU3" s="9">
        <f>IF(管理者入力シート!$B$14=1,VLOOKUP(管理者入力シート!$B$5&amp;"_1",管理者用人口入力シート!$A:$X,管理者用人口入力シート!BU$21,FALSE)*管理者用人口入力シート!AV$3,IF(管理者入力シート!$B$14=2,VLOOKUP(管理者入力シート!$B$5&amp;"_1",管理者用人口入力シート!$A:$X,管理者用人口入力シート!BU$21,FALSE)*管理者用人口入力シート!AV$7))</f>
        <v>23.058454147932547</v>
      </c>
      <c r="BV3" s="9">
        <f>IF(管理者入力シート!$B$14=1,VLOOKUP(管理者入力シート!$B$5&amp;"_1",管理者用人口入力シート!$A:$X,管理者用人口入力シート!BV$21,FALSE)*管理者用人口入力シート!AW$3,IF(管理者入力シート!$B$14=2,VLOOKUP(管理者入力シート!$B$5&amp;"_1",管理者用人口入力シート!$A:$X,管理者用人口入力シート!BV$21,FALSE)*管理者用人口入力シート!AW$7))</f>
        <v>18.556969340684677</v>
      </c>
      <c r="BW3" s="9">
        <f>IF(管理者入力シート!$B$14=1,VLOOKUP(管理者入力シート!$B$5&amp;"_1",管理者用人口入力シート!$A:$X,管理者用人口入力シート!BW$21,FALSE)*管理者用人口入力シート!AX$3,IF(管理者入力シート!$B$14=2,VLOOKUP(管理者入力シート!$B$5&amp;"_1",管理者用人口入力シート!$A:$X,管理者用人口入力シート!BW$21,FALSE)*管理者用人口入力シート!AX$7))</f>
        <v>23.570062072191419</v>
      </c>
      <c r="BX3" s="9">
        <f>IF(管理者入力シート!$B$14=1,VLOOKUP(管理者入力シート!$B$5&amp;"_1",管理者用人口入力シート!$A:$X,管理者用人口入力シート!BX$21,FALSE)*管理者用人口入力シート!AY$3,IF(管理者入力シート!$B$14=2,VLOOKUP(管理者入力シート!$B$5&amp;"_1",管理者用人口入力シート!$A:$X,管理者用人口入力シート!BX$21,FALSE)*管理者用人口入力シート!AY$7))</f>
        <v>28.217013240239236</v>
      </c>
      <c r="BY3" s="9">
        <f>IF(管理者入力シート!$B$14=1,VLOOKUP(管理者入力シート!$B$5&amp;"_1",管理者用人口入力シート!$A:$X,管理者用人口入力シート!BY$21,FALSE)*管理者用人口入力シート!AZ$3,IF(管理者入力シート!$B$14=2,VLOOKUP(管理者入力シート!$B$5&amp;"_1",管理者用人口入力シート!$A:$X,管理者用人口入力シート!BY$21,FALSE)*管理者用人口入力シート!AZ$7))</f>
        <v>28.7899722125604</v>
      </c>
      <c r="BZ3" s="9">
        <f>IF(管理者入力シート!$B$14=1,VLOOKUP(管理者入力シート!$B$5&amp;"_1",管理者用人口入力シート!$A:$X,管理者用人口入力シート!BZ$21,FALSE)*管理者用人口入力シート!BA$3,IF(管理者入力シート!$B$14=2,VLOOKUP(管理者入力シート!$B$5&amp;"_1",管理者用人口入力シート!$A:$X,管理者用人口入力シート!BZ$21,FALSE)*管理者用人口入力シート!BA$7))</f>
        <v>32.244507670218979</v>
      </c>
      <c r="CA3" s="9">
        <f>IF(管理者入力シート!$B$14=1,VLOOKUP(管理者入力シート!$B$5&amp;"_1",管理者用人口入力シート!$A:$X,管理者用人口入力シート!CA$21,FALSE)*管理者用人口入力シート!BB$3,IF(管理者入力シート!$B$14=2,VLOOKUP(管理者入力シート!$B$5&amp;"_1",管理者用人口入力シート!$A:$X,管理者用人口入力シート!CA$21,FALSE)*管理者用人口入力シート!BB$7))</f>
        <v>16.821232004637654</v>
      </c>
      <c r="CB3" s="9">
        <f>IF(管理者入力シート!$B$14=1,VLOOKUP(管理者入力シート!$B$5&amp;"_1",管理者用人口入力シート!$A:$X,管理者用人口入力シート!CB$21,FALSE)*管理者用人口入力シート!BC$3,IF(管理者入力シート!$B$14=2,VLOOKUP(管理者入力シート!$B$5&amp;"_1",管理者用人口入力シート!$A:$X,管理者用人口入力シート!CB$21,FALSE)*管理者用人口入力シート!BC$7))</f>
        <v>12.581559319918775</v>
      </c>
      <c r="CC3" s="9">
        <f>IF(管理者入力シート!$B$14=1,VLOOKUP(管理者入力シート!$B$5&amp;"_1",管理者用人口入力シート!$A:$X,管理者用人口入力シート!CC$21,FALSE)*管理者用人口入力シート!BD$3,IF(管理者入力シート!$B$14=2,VLOOKUP(管理者入力シート!$B$5&amp;"_1",管理者用人口入力シート!$A:$X,管理者用人口入力シート!CC$21,FALSE)*管理者用人口入力シート!BD$7))</f>
        <v>6.0869764293351789</v>
      </c>
      <c r="CD3" s="9">
        <f>IF(管理者入力シート!$B$14=1,VLOOKUP(管理者入力シート!$B$5&amp;"_1",管理者用人口入力シート!$A:$X,管理者用人口入力シート!CD$21,FALSE)*管理者用人口入力シート!BE$3,IF(管理者入力シート!$B$14=2,VLOOKUP(管理者入力シート!$B$5&amp;"_1",管理者用人口入力シート!$A:$X,管理者用人口入力シート!CD$21,FALSE)*管理者用人口入力シート!BE$7))</f>
        <v>9.1287092917527679E-2</v>
      </c>
      <c r="CE3" s="9">
        <f>IF(管理者入力シート!$B$14=1,VLOOKUP(管理者入力シート!$B$5&amp;"_1",管理者用人口入力シート!$A:$X,管理者用人口入力シート!CE$21,FALSE)*管理者用人口入力シート!BF$3,IF(管理者入力シート!$B$14=2,VLOOKUP(管理者入力シート!$B$5&amp;"_1",管理者用人口入力シート!$A:$X,管理者用人口入力シート!CE$21,FALSE)*管理者用人口入力シート!BF$7))</f>
        <v>0</v>
      </c>
      <c r="CF3" s="9">
        <f t="shared" ref="CF3:CF14" si="2">SUM(BK3:CE3)</f>
        <v>287.06989941051842</v>
      </c>
      <c r="CG3" s="9">
        <f>BL3*3/5+BM3*3/5</f>
        <v>16.088618318865421</v>
      </c>
      <c r="CH3" s="9">
        <f>BM3*2/5+BN3*1/5</f>
        <v>9.8676516500391678</v>
      </c>
      <c r="CI3" s="9">
        <f t="shared" ref="CI3:CI14" si="3">SUM(BX3:CE3)</f>
        <v>124.83254796982774</v>
      </c>
      <c r="CJ3" s="9">
        <f>SUM(BZ3:CE3)</f>
        <v>67.825562517028104</v>
      </c>
      <c r="CK3" s="13">
        <f>CI3/CF3</f>
        <v>0.43485070439695778</v>
      </c>
      <c r="CL3" s="13">
        <f>CJ3/CF3</f>
        <v>0.23626845815706909</v>
      </c>
      <c r="CM3" s="9">
        <f>SUM(BO3:BR3)</f>
        <v>15.178233630216637</v>
      </c>
      <c r="CO3" s="7" t="str">
        <f>CP3&amp;"_"&amp;IF(CQ3="男性",1,IF(CQ3="女性",2,IF(CQ3="合計",3)))</f>
        <v>2025_1</v>
      </c>
      <c r="CP3" s="28">
        <f>管理者入力シート!B8</f>
        <v>2025</v>
      </c>
      <c r="CQ3" s="3" t="s">
        <v>21</v>
      </c>
      <c r="CR3" s="9">
        <f>BK3+将来予測シート②!$G17</f>
        <v>6.2636472611436682</v>
      </c>
      <c r="CS3" s="9">
        <f>BL3+将来予測シート②!$G18</f>
        <v>8.6409875978771478</v>
      </c>
      <c r="CT3" s="9">
        <f>BM3+将来予測シート②!$G19</f>
        <v>19.173376266898554</v>
      </c>
      <c r="CU3" s="9">
        <f>BN3+将来予測シート②!$G20</f>
        <v>12.991505716398727</v>
      </c>
      <c r="CV3" s="9">
        <f>BO3+将来予測シート②!$G21</f>
        <v>4.3155924998009976</v>
      </c>
      <c r="CW3" s="9">
        <f>BP3+将来予測シート②!$G22</f>
        <v>4.9128763250176766</v>
      </c>
      <c r="CX3" s="9">
        <f>BQ3+将来予測シート②!$G23</f>
        <v>4.630064794363034</v>
      </c>
      <c r="CY3" s="9">
        <f>BR3+将来予測シート②!$G24</f>
        <v>3.3197000110349286</v>
      </c>
      <c r="CZ3" s="9">
        <f>BS3+将来予測シート②!$G25</f>
        <v>22.107176950648238</v>
      </c>
      <c r="DA3" s="9">
        <f>BT3+将来予測シート②!$G26</f>
        <v>14.696938456699067</v>
      </c>
      <c r="DB3" s="9">
        <f>BU3+将来予測シート②!$G27</f>
        <v>23.058454147932547</v>
      </c>
      <c r="DC3" s="9">
        <f>BV3+将来予測シート②!$G28</f>
        <v>18.556969340684677</v>
      </c>
      <c r="DD3" s="9">
        <f>BW3+将来予測シート②!$G29</f>
        <v>23.570062072191419</v>
      </c>
      <c r="DE3" s="9">
        <f>BX3</f>
        <v>28.217013240239236</v>
      </c>
      <c r="DF3" s="9">
        <f t="shared" ref="DF3:DL3" si="4">BY3</f>
        <v>28.7899722125604</v>
      </c>
      <c r="DG3" s="9">
        <f t="shared" si="4"/>
        <v>32.244507670218979</v>
      </c>
      <c r="DH3" s="9">
        <f t="shared" si="4"/>
        <v>16.821232004637654</v>
      </c>
      <c r="DI3" s="9">
        <f t="shared" si="4"/>
        <v>12.581559319918775</v>
      </c>
      <c r="DJ3" s="9">
        <f t="shared" si="4"/>
        <v>6.0869764293351789</v>
      </c>
      <c r="DK3" s="9">
        <f t="shared" si="4"/>
        <v>9.1287092917527679E-2</v>
      </c>
      <c r="DL3" s="9">
        <f t="shared" si="4"/>
        <v>0</v>
      </c>
      <c r="DM3" s="9">
        <f t="shared" ref="DM3:DM4" si="5">SUM(CR3:DL3)</f>
        <v>291.06989941051842</v>
      </c>
      <c r="DN3" s="9">
        <f>CS3*3/5+CT3*3/5</f>
        <v>16.688618318865423</v>
      </c>
      <c r="DO3" s="9">
        <f>CT3*2/5+CU3*1/5</f>
        <v>10.267651650039166</v>
      </c>
      <c r="DP3" s="9">
        <f t="shared" ref="DP3:DP14" si="6">SUM(DE3:DL3)</f>
        <v>124.83254796982774</v>
      </c>
      <c r="DQ3" s="9">
        <f>SUM(DG3:DL3)</f>
        <v>67.825562517028104</v>
      </c>
      <c r="DR3" s="13">
        <f>DP3/DM3</f>
        <v>0.42887481056145466</v>
      </c>
      <c r="DS3" s="13">
        <f>DQ3/DM3</f>
        <v>0.23302156167432642</v>
      </c>
      <c r="DT3" s="9">
        <f>SUM(CV3:CY3)</f>
        <v>17.178233630216635</v>
      </c>
      <c r="DV3" s="288"/>
      <c r="DW3" s="289"/>
      <c r="DX3" s="28">
        <f>管理者入力シート!B8</f>
        <v>2025</v>
      </c>
      <c r="DY3" s="3" t="s">
        <v>21</v>
      </c>
      <c r="DZ3" s="9">
        <f>BK$3</f>
        <v>5.2636472611436682</v>
      </c>
      <c r="EA3" s="9">
        <f>BL$3</f>
        <v>8.6409875978771478</v>
      </c>
      <c r="EB3" s="9">
        <f t="shared" ref="EB3:ED3" si="7">BM$3</f>
        <v>18.173376266898554</v>
      </c>
      <c r="EC3" s="9">
        <f t="shared" si="7"/>
        <v>12.991505716398727</v>
      </c>
      <c r="ED3" s="9">
        <f t="shared" si="7"/>
        <v>4.3155924998009976</v>
      </c>
      <c r="EE3" s="9">
        <f>BP$3+DX1</f>
        <v>9.9128763250176775</v>
      </c>
      <c r="EF3" s="9">
        <f>BQ$3+DX1</f>
        <v>11.630064794363033</v>
      </c>
      <c r="EG3" s="9">
        <f>BR$3+DX1</f>
        <v>10.319700011034929</v>
      </c>
      <c r="EH3" s="9">
        <f t="shared" ref="EH3:ET3" si="8">BS$3</f>
        <v>22.107176950648238</v>
      </c>
      <c r="EI3" s="9">
        <f t="shared" si="8"/>
        <v>14.696938456699067</v>
      </c>
      <c r="EJ3" s="9">
        <f t="shared" si="8"/>
        <v>23.058454147932547</v>
      </c>
      <c r="EK3" s="9">
        <f t="shared" si="8"/>
        <v>18.556969340684677</v>
      </c>
      <c r="EL3" s="9">
        <f t="shared" si="8"/>
        <v>23.570062072191419</v>
      </c>
      <c r="EM3" s="9">
        <f t="shared" si="8"/>
        <v>28.217013240239236</v>
      </c>
      <c r="EN3" s="9">
        <f t="shared" si="8"/>
        <v>28.7899722125604</v>
      </c>
      <c r="EO3" s="9">
        <f t="shared" si="8"/>
        <v>32.244507670218979</v>
      </c>
      <c r="EP3" s="9">
        <f t="shared" si="8"/>
        <v>16.821232004637654</v>
      </c>
      <c r="EQ3" s="9">
        <f t="shared" si="8"/>
        <v>12.581559319918775</v>
      </c>
      <c r="ER3" s="9">
        <f t="shared" si="8"/>
        <v>6.0869764293351789</v>
      </c>
      <c r="ES3" s="9">
        <f t="shared" si="8"/>
        <v>9.1287092917527679E-2</v>
      </c>
      <c r="ET3" s="9">
        <f t="shared" si="8"/>
        <v>0</v>
      </c>
      <c r="EU3" s="9">
        <f t="shared" ref="EU3:EU4" si="9">SUM(DZ3:ET3)</f>
        <v>308.06989941051842</v>
      </c>
      <c r="EV3" s="9">
        <f>EA3*3/5+EB3*3/5</f>
        <v>16.088618318865421</v>
      </c>
      <c r="EW3" s="9">
        <f>EB3*2/5+EC3*1/5</f>
        <v>9.8676516500391678</v>
      </c>
      <c r="EX3" s="9">
        <f t="shared" ref="EX3:EX14" si="10">SUM(EM3:ET3)</f>
        <v>124.83254796982774</v>
      </c>
      <c r="EY3" s="9">
        <f>SUM(EO3:ET3)</f>
        <v>67.825562517028104</v>
      </c>
      <c r="EZ3" s="13">
        <f>EX3/EU3</f>
        <v>0.40520851991282075</v>
      </c>
      <c r="FA3" s="13">
        <f>EY3/EU3</f>
        <v>0.22016290019508586</v>
      </c>
      <c r="FB3" s="9">
        <f>SUM(ED3:EG3)</f>
        <v>36.178233630216639</v>
      </c>
    </row>
    <row r="4" spans="1:158" x14ac:dyDescent="0.15">
      <c r="A4" s="7" t="str">
        <f t="shared" ref="A4:A14" si="11">B4&amp;"_"&amp;IF(C4="男性",1,IF(C4="女性",2,IF(C4="合計",3)))</f>
        <v>2005_2</v>
      </c>
      <c r="B4" s="29">
        <v>2005</v>
      </c>
      <c r="C4" s="4" t="s">
        <v>22</v>
      </c>
      <c r="D4" s="10">
        <v>9</v>
      </c>
      <c r="E4" s="10">
        <v>24</v>
      </c>
      <c r="F4" s="10">
        <v>22</v>
      </c>
      <c r="G4" s="10">
        <v>27</v>
      </c>
      <c r="H4" s="10">
        <v>14</v>
      </c>
      <c r="I4" s="10">
        <v>9</v>
      </c>
      <c r="J4" s="10">
        <v>21</v>
      </c>
      <c r="K4" s="10">
        <v>24</v>
      </c>
      <c r="L4" s="10">
        <v>31</v>
      </c>
      <c r="M4" s="10">
        <v>28</v>
      </c>
      <c r="N4" s="10">
        <v>35</v>
      </c>
      <c r="O4" s="10">
        <v>35</v>
      </c>
      <c r="P4" s="10">
        <v>32</v>
      </c>
      <c r="Q4" s="10">
        <v>29</v>
      </c>
      <c r="R4" s="10">
        <v>41</v>
      </c>
      <c r="S4" s="10">
        <v>29</v>
      </c>
      <c r="T4" s="10">
        <v>22</v>
      </c>
      <c r="U4" s="10">
        <v>18</v>
      </c>
      <c r="V4" s="10">
        <v>5</v>
      </c>
      <c r="W4" s="10">
        <v>0</v>
      </c>
      <c r="X4" s="10">
        <v>0</v>
      </c>
      <c r="Y4" s="10">
        <f>SUM(D4:X4)</f>
        <v>455</v>
      </c>
      <c r="Z4" s="10">
        <f t="shared" ref="Z4:Z11" si="12">E4*3/5+F4*3/5</f>
        <v>27.6</v>
      </c>
      <c r="AA4" s="10">
        <f t="shared" ref="AA4:AA11" si="13">F4*2/5+G4*1/5</f>
        <v>14.200000000000001</v>
      </c>
      <c r="AB4" s="10">
        <f t="shared" si="0"/>
        <v>144</v>
      </c>
      <c r="AC4" s="10">
        <f t="shared" ref="AC4:AC11" si="14">SUM(S4:X4)</f>
        <v>74</v>
      </c>
      <c r="AD4" s="14">
        <f t="shared" ref="AD4:AD11" si="15">AB4/Y4</f>
        <v>0.31648351648351647</v>
      </c>
      <c r="AE4" s="14">
        <f t="shared" ref="AE4:AE11" si="16">AC4/Y4</f>
        <v>0.16263736263736264</v>
      </c>
      <c r="AF4" s="10">
        <f t="shared" ref="AF4:AF20" si="17">SUM(H4:K4)</f>
        <v>68</v>
      </c>
      <c r="AH4" s="7"/>
      <c r="AI4" s="30" t="s">
        <v>87</v>
      </c>
      <c r="AJ4" s="5">
        <f>AJ3</f>
        <v>2015</v>
      </c>
      <c r="AK4" s="5">
        <f>AK3</f>
        <v>2020</v>
      </c>
      <c r="AL4" s="33" t="s">
        <v>22</v>
      </c>
      <c r="AM4" s="193">
        <f>IF(AND(VLOOKUP($AJ4&amp;"_2",$A:$X,AM$9,FALSE)&lt;1,VLOOKUP($AK4&amp;"_2",$A:$X,AM$10,FALSE)&lt;1),1,IF(AND(VLOOKUP($AJ4&amp;"_2",$A:$X,AM$9,FALSE)&lt;1,VLOOKUP($AK4&amp;"_2",$A:$X,AM$10,FALSE)&gt;=1),VLOOKUP($AK4&amp;"_2",$A:$X,AM$10,FALSE)/1,IF(AND(VLOOKUP($AJ4&amp;"_2",$A:$X,AM$9,FALSE)&gt;=1,VLOOKUP($AK4&amp;"_2",$A:$X,AM$10,FALSE)&lt;1),1/VLOOKUP($AJ4&amp;"_2",$A:$X,AM$9,FALSE),IF(AND(VLOOKUP($AJ4&amp;"_2",$A:$X,AM$9,FALSE)&gt;=1,VLOOKUP($AK4&amp;"_2",$A:$X,AM$10,FALSE)&gt;=1),VLOOKUP($AK4&amp;"_2",$A:$X,AM$10,FALSE)/VLOOKUP($AJ4&amp;"_2",$A:$X,AM$9,FALSE)))))</f>
        <v>0.8125</v>
      </c>
      <c r="AN4" s="193">
        <f t="shared" ref="AN4:BD6" si="18">IF(AND(VLOOKUP($AJ4&amp;"_2",$A:$X,AN$9,FALSE)&lt;1,VLOOKUP($AK4&amp;"_2",$A:$X,AN$10,FALSE)&lt;1),1,IF(AND(VLOOKUP($AJ4&amp;"_2",$A:$X,AN$9,FALSE)&lt;1,VLOOKUP($AK4&amp;"_2",$A:$X,AN$10,FALSE)&gt;=1),VLOOKUP($AK4&amp;"_2",$A:$X,AN$10,FALSE)/1,IF(AND(VLOOKUP($AJ4&amp;"_2",$A:$X,AN$9,FALSE)&gt;=1,VLOOKUP($AK4&amp;"_2",$A:$X,AN$10,FALSE)&lt;1),1/VLOOKUP($AJ4&amp;"_2",$A:$X,AN$9,FALSE),IF(AND(VLOOKUP($AJ4&amp;"_2",$A:$X,AN$9,FALSE)&gt;=1,VLOOKUP($AK4&amp;"_2",$A:$X,AN$10,FALSE)&gt;=1),VLOOKUP($AK4&amp;"_2",$A:$X,AN$10,FALSE)/VLOOKUP($AJ4&amp;"_2",$A:$X,AN$9,FALSE)))))</f>
        <v>0.8571428571428571</v>
      </c>
      <c r="AO4" s="193">
        <f t="shared" si="18"/>
        <v>1.3333333333333333</v>
      </c>
      <c r="AP4" s="193">
        <f t="shared" si="18"/>
        <v>0.6</v>
      </c>
      <c r="AQ4" s="193">
        <f t="shared" si="18"/>
        <v>0.61538461538461542</v>
      </c>
      <c r="AR4" s="193">
        <f t="shared" si="18"/>
        <v>0.6</v>
      </c>
      <c r="AS4" s="193">
        <f t="shared" si="18"/>
        <v>1.0625</v>
      </c>
      <c r="AT4" s="193">
        <f t="shared" si="18"/>
        <v>0.9285714285714286</v>
      </c>
      <c r="AU4" s="193">
        <f t="shared" si="18"/>
        <v>0.91666666666666663</v>
      </c>
      <c r="AV4" s="193">
        <f t="shared" si="18"/>
        <v>1.2</v>
      </c>
      <c r="AW4" s="193">
        <f t="shared" si="18"/>
        <v>0.95833333333333337</v>
      </c>
      <c r="AX4" s="193">
        <f t="shared" si="18"/>
        <v>1.2307692307692308</v>
      </c>
      <c r="AY4" s="193">
        <f t="shared" si="18"/>
        <v>0.97435897435897434</v>
      </c>
      <c r="AZ4" s="193">
        <f t="shared" si="18"/>
        <v>1</v>
      </c>
      <c r="BA4" s="193">
        <f t="shared" si="18"/>
        <v>0.86486486486486491</v>
      </c>
      <c r="BB4" s="193">
        <f t="shared" si="18"/>
        <v>0.88461538461538458</v>
      </c>
      <c r="BC4" s="193">
        <f t="shared" si="18"/>
        <v>0.70833333333333337</v>
      </c>
      <c r="BD4" s="193">
        <f t="shared" si="18"/>
        <v>0.63157894736842102</v>
      </c>
      <c r="BE4" s="193">
        <f>IF(AND(VLOOKUP($AJ4&amp;"_2",$A:$X,BE$9,FALSE)&lt;1,VLOOKUP($AK4&amp;"_2",$A:$X,BE$10,FALSE)&lt;1),0,IF(AND(VLOOKUP($AJ4&amp;"_2",$A:$X,BE$9,FALSE)&lt;1,VLOOKUP($AK4&amp;"_2",$A:$X,BE$10,FALSE)&gt;=1),VLOOKUP($AK4&amp;"_2",$A:$X,BE$10,FALSE)/1,IF(AND(VLOOKUP($AJ4&amp;"_2",$A:$X,BE$9,FALSE)&gt;=1,VLOOKUP($AK4&amp;"_2",$A:$X,BE$10,FALSE)&lt;1),0,IF(AND(VLOOKUP($AJ4&amp;"_2",$A:$X,BE$9,FALSE)&gt;=1,VLOOKUP($AK4&amp;"_2",$A:$X,BE$10,FALSE)&gt;=1),VLOOKUP($AK4&amp;"_2",$A:$X,BE$10,FALSE)/VLOOKUP($AJ4&amp;"_2",$A:$X,BE$9,FALSE)))))</f>
        <v>0.5</v>
      </c>
      <c r="BF4" s="193">
        <f>IF(AND(VLOOKUP($AJ4&amp;"_2",$A:$X,BF$9,FALSE)&lt;1,VLOOKUP($AK4&amp;"_2",$A:$X,BF$10,FALSE)&lt;1),0,IF(AND(VLOOKUP($AJ4&amp;"_2",$A:$X,BF$9,FALSE)&lt;1,VLOOKUP($AK4&amp;"_2",$A:$X,BF$10,FALSE)&gt;=1),VLOOKUP($AK4&amp;"_2",$A:$X,BF$10,FALSE)/1,IF(AND(VLOOKUP($AJ4&amp;"_2",$A:$X,BF$9,FALSE)&gt;=1,VLOOKUP($AK4&amp;"_2",$A:$X,BF$10,FALSE)&lt;1),0,IF(AND(VLOOKUP($AJ4&amp;"_2",$A:$X,BF$9,FALSE)&gt;=1,VLOOKUP($AK4&amp;"_2",$A:$X,BF$10,FALSE)&gt;=1),VLOOKUP($AK4&amp;"_2",$A:$X,BF$10,FALSE)/VLOOKUP($AJ4&amp;"_2",$A:$X,BF$9,FALSE)))))</f>
        <v>0</v>
      </c>
      <c r="BH4" s="7" t="str">
        <f t="shared" ref="BH4:BH20" si="19">BI4&amp;"_"&amp;IF(BJ4="男性",1,IF(BJ4="女性",2,IF(BJ4="合計",3)))</f>
        <v>2025_2</v>
      </c>
      <c r="BI4" s="29">
        <f>BI3</f>
        <v>2025</v>
      </c>
      <c r="BJ4" s="4" t="s">
        <v>22</v>
      </c>
      <c r="BK4" s="10">
        <f>CM4*AK$14</f>
        <v>12.031193739756954</v>
      </c>
      <c r="BL4" s="10">
        <f>IF(管理者入力シート!$B$14=1,VLOOKUP(管理者入力シート!$B$5&amp;"_2",管理者用人口入力シート!$A:$X,管理者用人口入力シート!BL$21,FALSE)*管理者用人口入力シート!AM$4,IF(管理者入力シート!$B$14=2,VLOOKUP(管理者入力シート!$B$5&amp;"_2",管理者用人口入力シート!$A:$X,管理者用人口入力シート!BL$21,FALSE)*管理者用人口入力シート!AM$8))</f>
        <v>16.270441688143343</v>
      </c>
      <c r="BM4" s="10">
        <f>IF(管理者入力シート!$B$14=1,VLOOKUP(管理者入力シート!$B$5&amp;"_2",管理者用人口入力シート!$A:$X,管理者用人口入力シート!BM$21,FALSE)*管理者用人口入力シート!AN$4,IF(管理者入力シート!$B$14=2,VLOOKUP(管理者入力シート!$B$5&amp;"_2",管理者用人口入力シート!$A:$X,管理者用人口入力シート!BM$21,FALSE)*管理者用人口入力シート!AN$8))</f>
        <v>11.418030853497838</v>
      </c>
      <c r="BN4" s="10">
        <f>IF(管理者入力シート!$B$14=1,VLOOKUP(管理者入力シート!$B$5&amp;"_2",管理者用人口入力シート!$A:$X,管理者用人口入力シート!BN$21,FALSE)*管理者用人口入力シート!AO$4,IF(管理者入力シート!$B$14=2,VLOOKUP(管理者入力シート!$B$5&amp;"_2",管理者用人口入力シート!$A:$X,管理者用人口入力シート!BN$21,FALSE)*管理者用人口入力シート!AO$8))</f>
        <v>12.921165649395972</v>
      </c>
      <c r="BO4" s="10">
        <f>IF(管理者入力シート!$B$14=1,VLOOKUP(管理者入力シート!$B$5&amp;"_2",管理者用人口入力シート!$A:$X,管理者用人口入力シート!BO$21,FALSE)*管理者用人口入力シート!AP$4,IF(管理者入力シート!$B$14=2,VLOOKUP(管理者入力シート!$B$5&amp;"_2",管理者用人口入力シート!$A:$X,管理者用人口入力シート!BO$21,FALSE)*管理者用人口入力シート!AP$8))</f>
        <v>7.8993670632525994</v>
      </c>
      <c r="BP4" s="10">
        <f>IF(管理者入力シート!$B$14=1,VLOOKUP(管理者入力シート!$B$5&amp;"_2",管理者用人口入力シート!$A:$X,管理者用人口入力シート!BP$21,FALSE)*管理者用人口入力シート!AQ$4,IF(管理者入力シート!$B$14=2,VLOOKUP(管理者入力シート!$B$5&amp;"_2",管理者用人口入力シート!$A:$X,管理者用人口入力シート!BP$21,FALSE)*管理者用人口入力シート!AQ$8))</f>
        <v>8.9754911040811898</v>
      </c>
      <c r="BQ4" s="10">
        <f>IF(管理者入力シート!$B$14=1,VLOOKUP(管理者入力シート!$B$5&amp;"_2",管理者用人口入力シート!$A:$X,管理者用人口入力シート!BQ$21,FALSE)*管理者用人口入力シート!AR$4,IF(管理者入力シート!$B$14=2,VLOOKUP(管理者入力シート!$B$5&amp;"_2",管理者用人口入力シート!$A:$X,管理者用人口入力シート!BQ$21,FALSE)*管理者用人口入力シート!AR$8))</f>
        <v>6.0117531944174347</v>
      </c>
      <c r="BR4" s="10">
        <f>IF(管理者入力シート!$B$14=1,VLOOKUP(管理者入力シート!$B$5&amp;"_2",管理者用人口入力シート!$A:$X,管理者用人口入力シート!BR$21,FALSE)*管理者用人口入力シート!AS$4,IF(管理者入力シート!$B$14=2,VLOOKUP(管理者入力シート!$B$5&amp;"_2",管理者用人口入力シート!$A:$X,管理者用人口入力シート!BR$21,FALSE)*管理者用人口入力シート!AS$8))</f>
        <v>9.4472218138455926</v>
      </c>
      <c r="BS4" s="10">
        <f>IF(管理者入力シート!$B$14=1,VLOOKUP(管理者入力シート!$B$5&amp;"_2",管理者用人口入力シート!$A:$X,管理者用人口入力シート!BS$21,FALSE)*管理者用人口入力シート!AT$4,IF(管理者入力シート!$B$14=2,VLOOKUP(管理者入力シート!$B$5&amp;"_2",管理者用人口入力シート!$A:$X,管理者用人口入力シート!BS$21,FALSE)*管理者用人口入力シート!AT$8))</f>
        <v>17.11003351116668</v>
      </c>
      <c r="BT4" s="10">
        <f>IF(管理者入力シート!$B$14=1,VLOOKUP(管理者入力シート!$B$5&amp;"_2",管理者用人口入力シート!$A:$X,管理者用人口入力シート!BT$21,FALSE)*管理者用人口入力シート!AU$4,IF(管理者入力シート!$B$14=2,VLOOKUP(管理者入力シート!$B$5&amp;"_2",管理者用人口入力シート!$A:$X,管理者用人口入力シート!BT$21,FALSE)*管理者用人口入力シート!AU$8))</f>
        <v>11.60646995979123</v>
      </c>
      <c r="BU4" s="10">
        <f>IF(管理者入力シート!$B$14=1,VLOOKUP(管理者入力シート!$B$5&amp;"_2",管理者用人口入力シート!$A:$X,管理者用人口入力シート!BU$21,FALSE)*管理者用人口入力シート!AV$4,IF(管理者入力シート!$B$14=2,VLOOKUP(管理者入力シート!$B$5&amp;"_2",管理者用人口入力シート!$A:$X,管理者用人口入力シート!BU$21,FALSE)*管理者用人口入力シート!AV$8))</f>
        <v>23.154331709705573</v>
      </c>
      <c r="BV4" s="10">
        <f>IF(管理者入力シート!$B$14=1,VLOOKUP(管理者入力シート!$B$5&amp;"_2",管理者用人口入力シート!$A:$X,管理者用人口入力シート!BV$21,FALSE)*管理者用人口入力シート!AW$4,IF(管理者入力シート!$B$14=2,VLOOKUP(管理者入力シート!$B$5&amp;"_2",管理者用人口入力シート!$A:$X,管理者用人口入力シート!BV$21,FALSE)*管理者用人口入力シート!AW$8))</f>
        <v>21.177818584547371</v>
      </c>
      <c r="BW4" s="10">
        <f>IF(管理者入力シート!$B$14=1,VLOOKUP(管理者入力シート!$B$5&amp;"_2",管理者用人口入力シート!$A:$X,管理者用人口入力シート!BW$21,FALSE)*管理者用人口入力シート!AX$4,IF(管理者入力シート!$B$14=2,VLOOKUP(管理者入力シート!$B$5&amp;"_2",管理者用人口入力シート!$A:$X,管理者用人口入力シート!BW$21,FALSE)*管理者用人口入力シート!AX$8))</f>
        <v>26.934842013379516</v>
      </c>
      <c r="BX4" s="10">
        <f>IF(管理者入力シート!$B$14=1,VLOOKUP(管理者入力シート!$B$5&amp;"_2",管理者用人口入力シート!$A:$X,管理者用人口入力シート!BX$21,FALSE)*管理者用人口入力シート!AY$4,IF(管理者入力シート!$B$14=2,VLOOKUP(管理者入力シート!$B$5&amp;"_2",管理者用人口入力シート!$A:$X,管理者用人口入力シート!BX$21,FALSE)*管理者用人口入力シート!AY$8))</f>
        <v>32.407659746677332</v>
      </c>
      <c r="BY4" s="10">
        <f>IF(管理者入力シート!$B$14=1,VLOOKUP(管理者入力シート!$B$5&amp;"_2",管理者用人口入力シート!$A:$X,管理者用人口入力シート!BY$21,FALSE)*管理者用人口入力シート!AZ$4,IF(管理者入力シート!$B$14=2,VLOOKUP(管理者入力シート!$B$5&amp;"_2",管理者用人口入力シート!$A:$X,管理者用人口入力シート!BY$21,FALSE)*管理者用人口入力シート!AZ$8))</f>
        <v>38.524162691888719</v>
      </c>
      <c r="BZ4" s="10">
        <f>IF(管理者入力シート!$B$14=1,VLOOKUP(管理者入力シート!$B$5&amp;"_2",管理者用人口入力シート!$A:$X,管理者用人口入力シート!BZ$21,FALSE)*管理者用人口入力シート!BA$4,IF(管理者入力シート!$B$14=2,VLOOKUP(管理者入力シート!$B$5&amp;"_2",管理者用人口入力シート!$A:$X,管理者用人口入力シート!BZ$21,FALSE)*管理者用人口入力シート!BA$8))</f>
        <v>35.222631037238848</v>
      </c>
      <c r="CA4" s="10">
        <f>IF(管理者入力シート!$B$14=1,VLOOKUP(管理者入力シート!$B$5&amp;"_2",管理者用人口入力シート!$A:$X,管理者用人口入力シート!CA$21,FALSE)*管理者用人口入力シート!BB$4,IF(管理者入力シート!$B$14=2,VLOOKUP(管理者入力シート!$B$5&amp;"_2",管理者用人口入力シート!$A:$X,管理者用人口入力シート!CA$21,FALSE)*管理者用人口入力シート!BB$8))</f>
        <v>24.57432472922574</v>
      </c>
      <c r="CB4" s="10">
        <f>IF(管理者入力シート!$B$14=1,VLOOKUP(管理者入力シート!$B$5&amp;"_2",管理者用人口入力シート!$A:$X,管理者用人口入力シート!CB$21,FALSE)*管理者用人口入力シート!BC$4,IF(管理者入力シート!$B$14=2,VLOOKUP(管理者入力シート!$B$5&amp;"_2",管理者用人口入力シート!$A:$X,管理者用人口入力シート!CB$21,FALSE)*管理者用人口入力シート!BC$8))</f>
        <v>17.593796255119777</v>
      </c>
      <c r="CC4" s="10">
        <f>IF(管理者入力シート!$B$14=1,VLOOKUP(管理者入力シート!$B$5&amp;"_2",管理者用人口入力シート!$A:$X,管理者用人口入力シート!CC$21,FALSE)*管理者用人口入力シート!BD$4,IF(管理者入力シート!$B$14=2,VLOOKUP(管理者入力シート!$B$5&amp;"_2",管理者用人口入力シート!$A:$X,管理者用人口入力シート!CC$21,FALSE)*管理者用人口入力シート!BD$8))</f>
        <v>9.1783939215832895</v>
      </c>
      <c r="CD4" s="10">
        <f>IF(管理者入力シート!$B$14=1,VLOOKUP(管理者入力シート!$B$5&amp;"_2",管理者用人口入力シート!$A:$X,管理者用人口入力シート!CD$21,FALSE)*管理者用人口入力シート!BE$4,IF(管理者入力シート!$B$14=2,VLOOKUP(管理者入力シート!$B$5&amp;"_2",管理者用人口入力シート!$A:$X,管理者用人口入力シート!CD$21,FALSE)*管理者用人口入力シート!BE$8))</f>
        <v>3.4641016151377544</v>
      </c>
      <c r="CE4" s="10">
        <f>IF(管理者入力シート!$B$14=1,VLOOKUP(管理者入力シート!$B$5&amp;"_2",管理者用人口入力シート!$A:$X,管理者用人口入力シート!CE$21,FALSE)*管理者用人口入力シート!BF$4,IF(管理者入力シート!$B$14=2,VLOOKUP(管理者入力シート!$B$5&amp;"_2",管理者用人口入力シート!$A:$X,管理者用人口入力シート!CE$21,FALSE)*管理者用人口入力シート!BF$8))</f>
        <v>3.0000000000000001E-3</v>
      </c>
      <c r="CF4" s="10">
        <f t="shared" si="2"/>
        <v>345.92623088185269</v>
      </c>
      <c r="CG4" s="10">
        <f t="shared" ref="CG4:CG14" si="20">BL4*3/5+BM4*3/5</f>
        <v>16.61308352498471</v>
      </c>
      <c r="CH4" s="10">
        <f t="shared" ref="CH4:CH14" si="21">BM4*2/5+BN4*1/5</f>
        <v>7.1514454712783291</v>
      </c>
      <c r="CI4" s="10">
        <f t="shared" si="3"/>
        <v>160.96806999687144</v>
      </c>
      <c r="CJ4" s="10">
        <f t="shared" ref="CJ4:CJ14" si="22">SUM(BZ4:CE4)</f>
        <v>90.036247558305419</v>
      </c>
      <c r="CK4" s="14">
        <f t="shared" ref="CK4:CK14" si="23">CI4/CF4</f>
        <v>0.46532484566586196</v>
      </c>
      <c r="CL4" s="14">
        <f t="shared" ref="CL4:CL14" si="24">CJ4/CF4</f>
        <v>0.26027586092208288</v>
      </c>
      <c r="CM4" s="10">
        <f t="shared" ref="CM4:CM14" si="25">SUM(BO4:BR4)</f>
        <v>32.333833175596816</v>
      </c>
      <c r="CO4" s="7" t="str">
        <f t="shared" ref="CO4:CO20" si="26">CP4&amp;"_"&amp;IF(CQ4="男性",1,IF(CQ4="女性",2,IF(CQ4="合計",3)))</f>
        <v>2025_2</v>
      </c>
      <c r="CP4" s="29">
        <f>CP3</f>
        <v>2025</v>
      </c>
      <c r="CQ4" s="4" t="s">
        <v>22</v>
      </c>
      <c r="CR4" s="10">
        <f>BK4+将来予測シート②!$H17</f>
        <v>13.031193739756954</v>
      </c>
      <c r="CS4" s="10">
        <f>BL4+将来予測シート②!$H18</f>
        <v>16.270441688143343</v>
      </c>
      <c r="CT4" s="10">
        <f>BM4+将来予測シート②!$H19</f>
        <v>12.418030853497838</v>
      </c>
      <c r="CU4" s="10">
        <f>BN4+将来予測シート②!$H20</f>
        <v>12.921165649395972</v>
      </c>
      <c r="CV4" s="10">
        <f>BO4+将来予測シート②!$H21</f>
        <v>7.8993670632525994</v>
      </c>
      <c r="CW4" s="10">
        <f>BP4+将来予測シート②!$H22</f>
        <v>10.97549110408119</v>
      </c>
      <c r="CX4" s="10">
        <f>BQ4+将来予測シート②!$H23</f>
        <v>6.0117531944174347</v>
      </c>
      <c r="CY4" s="10">
        <f>BR4+将来予測シート②!$H24</f>
        <v>9.4472218138455926</v>
      </c>
      <c r="CZ4" s="10">
        <f>BS4+将来予測シート②!$H25</f>
        <v>18.11003351116668</v>
      </c>
      <c r="DA4" s="10">
        <f>BT4+将来予測シート②!$H26</f>
        <v>11.60646995979123</v>
      </c>
      <c r="DB4" s="10">
        <f>BU4+将来予測シート②!$H27</f>
        <v>23.154331709705573</v>
      </c>
      <c r="DC4" s="10">
        <f>BV4+将来予測シート②!$H28</f>
        <v>21.177818584547371</v>
      </c>
      <c r="DD4" s="10">
        <f>BW4+将来予測シート②!$H29</f>
        <v>26.934842013379516</v>
      </c>
      <c r="DE4" s="10">
        <f>BX4</f>
        <v>32.407659746677332</v>
      </c>
      <c r="DF4" s="10">
        <f t="shared" ref="DF4" si="27">BY4</f>
        <v>38.524162691888719</v>
      </c>
      <c r="DG4" s="10">
        <f t="shared" ref="DG4" si="28">BZ4</f>
        <v>35.222631037238848</v>
      </c>
      <c r="DH4" s="10">
        <f t="shared" ref="DH4" si="29">CA4</f>
        <v>24.57432472922574</v>
      </c>
      <c r="DI4" s="10">
        <f t="shared" ref="DI4" si="30">CB4</f>
        <v>17.593796255119777</v>
      </c>
      <c r="DJ4" s="10">
        <f t="shared" ref="DJ4" si="31">CC4</f>
        <v>9.1783939215832895</v>
      </c>
      <c r="DK4" s="10">
        <f t="shared" ref="DK4" si="32">CD4</f>
        <v>3.4641016151377544</v>
      </c>
      <c r="DL4" s="10">
        <f t="shared" ref="DL4" si="33">CE4</f>
        <v>3.0000000000000001E-3</v>
      </c>
      <c r="DM4" s="10">
        <f t="shared" si="5"/>
        <v>350.92623088185269</v>
      </c>
      <c r="DN4" s="10">
        <f t="shared" ref="DN4:DN14" si="34">CS4*3/5+CT4*3/5</f>
        <v>17.213083524984707</v>
      </c>
      <c r="DO4" s="10">
        <f t="shared" ref="DO4:DO14" si="35">CT4*2/5+CU4*1/5</f>
        <v>7.5514454712783294</v>
      </c>
      <c r="DP4" s="10">
        <f t="shared" si="6"/>
        <v>160.96806999687144</v>
      </c>
      <c r="DQ4" s="10">
        <f t="shared" ref="DQ4:DQ14" si="36">SUM(DG4:DL4)</f>
        <v>90.036247558305419</v>
      </c>
      <c r="DR4" s="14">
        <f t="shared" ref="DR4:DR14" si="37">DP4/DM4</f>
        <v>0.45869489320410761</v>
      </c>
      <c r="DS4" s="14">
        <f t="shared" ref="DS4:DS14" si="38">DQ4/DM4</f>
        <v>0.25656744818433985</v>
      </c>
      <c r="DT4" s="10">
        <f>SUM(CV4:CY4)</f>
        <v>34.333833175596816</v>
      </c>
      <c r="DV4" s="288"/>
      <c r="DW4" s="289"/>
      <c r="DX4" s="29">
        <f>DX3</f>
        <v>2025</v>
      </c>
      <c r="DY4" s="4" t="s">
        <v>22</v>
      </c>
      <c r="DZ4" s="10">
        <f>BK$4</f>
        <v>12.031193739756954</v>
      </c>
      <c r="EA4" s="10">
        <f>BL$4</f>
        <v>16.270441688143343</v>
      </c>
      <c r="EB4" s="10">
        <f t="shared" ref="EB4:ED4" si="39">BM$4</f>
        <v>11.418030853497838</v>
      </c>
      <c r="EC4" s="10">
        <f t="shared" si="39"/>
        <v>12.921165649395972</v>
      </c>
      <c r="ED4" s="10">
        <f t="shared" si="39"/>
        <v>7.8993670632525994</v>
      </c>
      <c r="EE4" s="10">
        <f>BP$4+DX1</f>
        <v>15.97549110408119</v>
      </c>
      <c r="EF4" s="10">
        <f>BQ$4+DX1</f>
        <v>13.011753194417434</v>
      </c>
      <c r="EG4" s="10">
        <f>BR$4+DX1</f>
        <v>16.447221813845594</v>
      </c>
      <c r="EH4" s="10">
        <f t="shared" ref="EH4:ET4" si="40">BS$4</f>
        <v>17.11003351116668</v>
      </c>
      <c r="EI4" s="10">
        <f t="shared" si="40"/>
        <v>11.60646995979123</v>
      </c>
      <c r="EJ4" s="10">
        <f t="shared" si="40"/>
        <v>23.154331709705573</v>
      </c>
      <c r="EK4" s="10">
        <f t="shared" si="40"/>
        <v>21.177818584547371</v>
      </c>
      <c r="EL4" s="10">
        <f t="shared" si="40"/>
        <v>26.934842013379516</v>
      </c>
      <c r="EM4" s="10">
        <f t="shared" si="40"/>
        <v>32.407659746677332</v>
      </c>
      <c r="EN4" s="10">
        <f t="shared" si="40"/>
        <v>38.524162691888719</v>
      </c>
      <c r="EO4" s="10">
        <f t="shared" si="40"/>
        <v>35.222631037238848</v>
      </c>
      <c r="EP4" s="10">
        <f t="shared" si="40"/>
        <v>24.57432472922574</v>
      </c>
      <c r="EQ4" s="10">
        <f t="shared" si="40"/>
        <v>17.593796255119777</v>
      </c>
      <c r="ER4" s="10">
        <f t="shared" si="40"/>
        <v>9.1783939215832895</v>
      </c>
      <c r="ES4" s="10">
        <f t="shared" si="40"/>
        <v>3.4641016151377544</v>
      </c>
      <c r="ET4" s="10">
        <f t="shared" si="40"/>
        <v>3.0000000000000001E-3</v>
      </c>
      <c r="EU4" s="10">
        <f t="shared" si="9"/>
        <v>366.92623088185269</v>
      </c>
      <c r="EV4" s="10">
        <f t="shared" ref="EV4:EV14" si="41">EA4*3/5+EB4*3/5</f>
        <v>16.61308352498471</v>
      </c>
      <c r="EW4" s="10">
        <f t="shared" ref="EW4:EW14" si="42">EB4*2/5+EC4*1/5</f>
        <v>7.1514454712783291</v>
      </c>
      <c r="EX4" s="10">
        <f t="shared" si="10"/>
        <v>160.96806999687144</v>
      </c>
      <c r="EY4" s="10">
        <f t="shared" ref="EY4:EY14" si="43">SUM(EO4:ET4)</f>
        <v>90.036247558305419</v>
      </c>
      <c r="EZ4" s="14">
        <f t="shared" ref="EZ4:EZ14" si="44">EX4/EU4</f>
        <v>0.43869327523957224</v>
      </c>
      <c r="FA4" s="14">
        <f t="shared" ref="FA4:FA14" si="45">EY4/EU4</f>
        <v>0.24537969755369266</v>
      </c>
      <c r="FB4" s="10">
        <f>SUM(ED4:EG4)</f>
        <v>53.333833175596816</v>
      </c>
    </row>
    <row r="5" spans="1:158" x14ac:dyDescent="0.15">
      <c r="A5" s="7" t="str">
        <f t="shared" si="11"/>
        <v>2005_3</v>
      </c>
      <c r="B5" s="30">
        <v>2005</v>
      </c>
      <c r="C5" s="5" t="s">
        <v>23</v>
      </c>
      <c r="D5" s="11">
        <v>19</v>
      </c>
      <c r="E5" s="11">
        <v>39</v>
      </c>
      <c r="F5" s="11">
        <v>47</v>
      </c>
      <c r="G5" s="11">
        <v>48</v>
      </c>
      <c r="H5" s="11">
        <v>23</v>
      </c>
      <c r="I5" s="11">
        <v>23</v>
      </c>
      <c r="J5" s="11">
        <v>35</v>
      </c>
      <c r="K5" s="11">
        <v>49</v>
      </c>
      <c r="L5" s="11">
        <v>56</v>
      </c>
      <c r="M5" s="11">
        <v>55</v>
      </c>
      <c r="N5" s="11">
        <v>66</v>
      </c>
      <c r="O5" s="11">
        <v>74</v>
      </c>
      <c r="P5" s="11">
        <v>56</v>
      </c>
      <c r="Q5" s="11">
        <v>57</v>
      </c>
      <c r="R5" s="11">
        <v>78</v>
      </c>
      <c r="S5" s="11">
        <v>58</v>
      </c>
      <c r="T5" s="11">
        <v>34</v>
      </c>
      <c r="U5" s="11">
        <v>26</v>
      </c>
      <c r="V5" s="11">
        <v>6</v>
      </c>
      <c r="W5" s="11">
        <v>2</v>
      </c>
      <c r="X5" s="11">
        <v>0</v>
      </c>
      <c r="Y5" s="11">
        <f>SUM(D5:X5)</f>
        <v>851</v>
      </c>
      <c r="Z5" s="11">
        <f t="shared" si="12"/>
        <v>51.599999999999994</v>
      </c>
      <c r="AA5" s="11">
        <f t="shared" si="13"/>
        <v>28.4</v>
      </c>
      <c r="AB5" s="11">
        <f t="shared" si="0"/>
        <v>261</v>
      </c>
      <c r="AC5" s="11">
        <f t="shared" si="14"/>
        <v>126</v>
      </c>
      <c r="AD5" s="15">
        <f t="shared" si="15"/>
        <v>0.30669800235017625</v>
      </c>
      <c r="AE5" s="15">
        <f t="shared" si="16"/>
        <v>0.14806110458284372</v>
      </c>
      <c r="AF5" s="11">
        <f t="shared" si="17"/>
        <v>130</v>
      </c>
      <c r="AH5" s="7"/>
      <c r="AI5" s="28" t="s">
        <v>91</v>
      </c>
      <c r="AJ5" s="3">
        <f>管理者入力シート!B7</f>
        <v>2010</v>
      </c>
      <c r="AK5" s="3">
        <f>管理者入力シート!B6</f>
        <v>2015</v>
      </c>
      <c r="AL5" s="31" t="s">
        <v>21</v>
      </c>
      <c r="AM5" s="6">
        <f>IF(AND(VLOOKUP($AJ5&amp;"_1",$A:$X,AM$9,FALSE)&lt;1,VLOOKUP($AK5&amp;"_1",$A:$X,AM$10,FALSE)&lt;1),1,IF(AND(VLOOKUP($AJ5&amp;"_1",$A:$X,AM$9,FALSE)&lt;1,VLOOKUP($AK5&amp;"_1",$A:$X,AM$10,FALSE)&gt;=1),VLOOKUP($AK5&amp;"_1",$A:$X,AM$10,FALSE)/1,IF(AND(VLOOKUP($AJ5&amp;"_1",$A:$X,AM$9,FALSE)&gt;=1,VLOOKUP($AK5&amp;"_1",$A:$X,AM$10,FALSE)&lt;1),1/VLOOKUP($AJ5&amp;"_1",$A:$X,AM$9,FALSE),IF(AND(VLOOKUP($AJ5&amp;"_1",$A:$X,AM$9,FALSE)&gt;=1,VLOOKUP($AK5&amp;"_1",$A:$X,AM$10,FALSE)&gt;=1),VLOOKUP($AK5&amp;"_1",$A:$X,AM$10,FALSE)/VLOOKUP($AJ5&amp;"_1",$A:$X,AM$9,FALSE)))))</f>
        <v>2</v>
      </c>
      <c r="AN5" s="6">
        <f t="shared" si="1"/>
        <v>1.2222222222222223</v>
      </c>
      <c r="AO5" s="6">
        <f t="shared" si="1"/>
        <v>0.6428571428571429</v>
      </c>
      <c r="AP5" s="6">
        <f t="shared" si="1"/>
        <v>0.52380952380952384</v>
      </c>
      <c r="AQ5" s="6">
        <f t="shared" si="1"/>
        <v>0.53333333333333333</v>
      </c>
      <c r="AR5" s="6">
        <f t="shared" si="1"/>
        <v>1.1666666666666667</v>
      </c>
      <c r="AS5" s="6">
        <f t="shared" si="1"/>
        <v>1.0714285714285714</v>
      </c>
      <c r="AT5" s="6">
        <f t="shared" si="1"/>
        <v>1.9090909090909092</v>
      </c>
      <c r="AU5" s="6">
        <f t="shared" si="1"/>
        <v>0.84</v>
      </c>
      <c r="AV5" s="6">
        <f t="shared" si="1"/>
        <v>0.92307692307692313</v>
      </c>
      <c r="AW5" s="6">
        <f t="shared" si="1"/>
        <v>0.85185185185185186</v>
      </c>
      <c r="AX5" s="6">
        <f t="shared" si="1"/>
        <v>0.94285714285714284</v>
      </c>
      <c r="AY5" s="6">
        <f t="shared" si="1"/>
        <v>1.0810810810810811</v>
      </c>
      <c r="AZ5" s="6">
        <f t="shared" si="1"/>
        <v>0.95833333333333337</v>
      </c>
      <c r="BA5" s="6">
        <f t="shared" si="1"/>
        <v>0.83870967741935487</v>
      </c>
      <c r="BB5" s="6">
        <f t="shared" si="1"/>
        <v>0.8</v>
      </c>
      <c r="BC5" s="6">
        <f t="shared" si="1"/>
        <v>0.61904761904761907</v>
      </c>
      <c r="BD5" s="6">
        <f t="shared" si="1"/>
        <v>0.33333333333333331</v>
      </c>
      <c r="BE5" s="6">
        <f>IF(AND(VLOOKUP($AJ5&amp;"_1",$A:$X,BE$9,FALSE)&lt;1,VLOOKUP($AK5&amp;"_1",$A:$X,BE$10,FALSE)&lt;1),0,IF(AND(VLOOKUP($AJ5&amp;"_1",$A:$X,BE$9,FALSE)&lt;1,VLOOKUP($AK5&amp;"_1",$A:$X,BE$10,FALSE)&gt;=1),VLOOKUP($AK5&amp;"_1",$A:$X,BE$10,FALSE)/1,IF(AND(VLOOKUP($AJ5&amp;"_1",$A:$X,BE$9,FALSE)&gt;=1,VLOOKUP($AK5&amp;"_1",$A:$X,BE$10,FALSE)&lt;1),0,IF(AND(VLOOKUP($AJ5&amp;"_1",$A:$X,BE$9,FALSE)&gt;=1,VLOOKUP($AK5&amp;"_1",$A:$X,BE$10,FALSE)&gt;=1),VLOOKUP($AK5&amp;"_1",$A:$X,BE$10,FALSE)/VLOOKUP($AJ5&amp;"_1",$A:$X,BE$9,FALSE)))))</f>
        <v>0.33333333333333331</v>
      </c>
      <c r="BF5" s="6">
        <f>IF(AND(VLOOKUP($AJ5&amp;"_1",$A:$X,BF$9,FALSE)&lt;1,VLOOKUP($AK5&amp;"_1",$A:$X,BF$10,FALSE)&lt;1),0,IF(AND(VLOOKUP($AJ5&amp;"_1",$A:$X,BF$9,FALSE)&lt;1,VLOOKUP($AK5&amp;"_1",$A:$X,BF$10,FALSE)&gt;=1),VLOOKUP($AK5&amp;"_1",$A:$X,BF$10,FALSE)/1,IF(AND(VLOOKUP($AJ5&amp;"_1",$A:$X,BF$9,FALSE)&gt;=1,VLOOKUP($AK5&amp;"_1",$A:$X,BF$10,FALSE)&lt;1),0,IF(AND(VLOOKUP($AJ5&amp;"_1",$A:$X,BF$9,FALSE)&gt;=1,VLOOKUP($AK5&amp;"_1",$A:$X,BF$10,FALSE)&gt;=1),VLOOKUP($AK5&amp;"_1",$A:$X,BF$10,FALSE)/VLOOKUP($AJ5&amp;"_1",$A:$X,BF$9,FALSE)))))</f>
        <v>0</v>
      </c>
      <c r="BH5" s="7" t="str">
        <f t="shared" si="19"/>
        <v>2025_3</v>
      </c>
      <c r="BI5" s="30">
        <f>BI4</f>
        <v>2025</v>
      </c>
      <c r="BJ5" s="5" t="s">
        <v>23</v>
      </c>
      <c r="BK5" s="16">
        <f>BK3+BK4</f>
        <v>17.294841000900622</v>
      </c>
      <c r="BL5" s="16">
        <f t="shared" ref="BL5:CE5" si="46">BL3+BL4</f>
        <v>24.911429286020493</v>
      </c>
      <c r="BM5" s="16">
        <f t="shared" si="46"/>
        <v>29.59140712039639</v>
      </c>
      <c r="BN5" s="16">
        <f t="shared" si="46"/>
        <v>25.912671365794701</v>
      </c>
      <c r="BO5" s="16">
        <f t="shared" si="46"/>
        <v>12.214959563053597</v>
      </c>
      <c r="BP5" s="16">
        <f t="shared" si="46"/>
        <v>11.888367429098867</v>
      </c>
      <c r="BQ5" s="16">
        <f t="shared" si="46"/>
        <v>10.641817988780469</v>
      </c>
      <c r="BR5" s="16">
        <f t="shared" si="46"/>
        <v>12.766921824880521</v>
      </c>
      <c r="BS5" s="16">
        <f t="shared" si="46"/>
        <v>39.217210461814915</v>
      </c>
      <c r="BT5" s="16">
        <f t="shared" si="46"/>
        <v>26.303408416490299</v>
      </c>
      <c r="BU5" s="16">
        <f t="shared" si="46"/>
        <v>46.212785857638124</v>
      </c>
      <c r="BV5" s="16">
        <f t="shared" si="46"/>
        <v>39.734787925232048</v>
      </c>
      <c r="BW5" s="16">
        <f t="shared" si="46"/>
        <v>50.504904085570935</v>
      </c>
      <c r="BX5" s="16">
        <f t="shared" si="46"/>
        <v>60.624672986916565</v>
      </c>
      <c r="BY5" s="16">
        <f t="shared" si="46"/>
        <v>67.314134904449119</v>
      </c>
      <c r="BZ5" s="16">
        <f t="shared" si="46"/>
        <v>67.467138707457821</v>
      </c>
      <c r="CA5" s="16">
        <f t="shared" si="46"/>
        <v>41.395556733863394</v>
      </c>
      <c r="CB5" s="16">
        <f t="shared" si="46"/>
        <v>30.175355575038552</v>
      </c>
      <c r="CC5" s="16">
        <f t="shared" si="46"/>
        <v>15.265370350918468</v>
      </c>
      <c r="CD5" s="16">
        <f t="shared" si="46"/>
        <v>3.5553887080552822</v>
      </c>
      <c r="CE5" s="16">
        <f t="shared" si="46"/>
        <v>3.0000000000000001E-3</v>
      </c>
      <c r="CF5" s="11">
        <f>SUM(BK5:CE5)</f>
        <v>632.99613029237128</v>
      </c>
      <c r="CG5" s="11">
        <f t="shared" si="20"/>
        <v>32.701701843850131</v>
      </c>
      <c r="CH5" s="11">
        <f t="shared" si="21"/>
        <v>17.019097121317497</v>
      </c>
      <c r="CI5" s="11">
        <f t="shared" si="3"/>
        <v>285.80061796669918</v>
      </c>
      <c r="CJ5" s="11">
        <f t="shared" si="22"/>
        <v>157.86181007533349</v>
      </c>
      <c r="CK5" s="15">
        <f t="shared" si="23"/>
        <v>0.45150452631470628</v>
      </c>
      <c r="CL5" s="15">
        <f t="shared" si="24"/>
        <v>0.24938827035549099</v>
      </c>
      <c r="CM5" s="11">
        <f t="shared" si="25"/>
        <v>47.512066805813454</v>
      </c>
      <c r="CO5" s="7" t="str">
        <f t="shared" si="26"/>
        <v>2025_3</v>
      </c>
      <c r="CP5" s="30">
        <f>CP4</f>
        <v>2025</v>
      </c>
      <c r="CQ5" s="5" t="s">
        <v>23</v>
      </c>
      <c r="CR5" s="16">
        <f>CR3+CR4</f>
        <v>19.294841000900622</v>
      </c>
      <c r="CS5" s="16">
        <f t="shared" ref="CS5" si="47">CS3+CS4</f>
        <v>24.911429286020493</v>
      </c>
      <c r="CT5" s="16">
        <f t="shared" ref="CT5" si="48">CT3+CT4</f>
        <v>31.59140712039639</v>
      </c>
      <c r="CU5" s="16">
        <f t="shared" ref="CU5" si="49">CU3+CU4</f>
        <v>25.912671365794701</v>
      </c>
      <c r="CV5" s="16">
        <f t="shared" ref="CV5" si="50">CV3+CV4</f>
        <v>12.214959563053597</v>
      </c>
      <c r="CW5" s="16">
        <f t="shared" ref="CW5" si="51">CW3+CW4</f>
        <v>15.888367429098867</v>
      </c>
      <c r="CX5" s="16">
        <f t="shared" ref="CX5" si="52">CX3+CX4</f>
        <v>10.641817988780469</v>
      </c>
      <c r="CY5" s="16">
        <f t="shared" ref="CY5" si="53">CY3+CY4</f>
        <v>12.766921824880521</v>
      </c>
      <c r="CZ5" s="16">
        <f t="shared" ref="CZ5" si="54">CZ3+CZ4</f>
        <v>40.217210461814915</v>
      </c>
      <c r="DA5" s="16">
        <f t="shared" ref="DA5" si="55">DA3+DA4</f>
        <v>26.303408416490299</v>
      </c>
      <c r="DB5" s="16">
        <f t="shared" ref="DB5" si="56">DB3+DB4</f>
        <v>46.212785857638124</v>
      </c>
      <c r="DC5" s="16">
        <f t="shared" ref="DC5" si="57">DC3+DC4</f>
        <v>39.734787925232048</v>
      </c>
      <c r="DD5" s="16">
        <f t="shared" ref="DD5" si="58">DD3+DD4</f>
        <v>50.504904085570935</v>
      </c>
      <c r="DE5" s="16">
        <f t="shared" ref="DE5" si="59">DE3+DE4</f>
        <v>60.624672986916565</v>
      </c>
      <c r="DF5" s="16">
        <f t="shared" ref="DF5" si="60">DF3+DF4</f>
        <v>67.314134904449119</v>
      </c>
      <c r="DG5" s="16">
        <f t="shared" ref="DG5" si="61">DG3+DG4</f>
        <v>67.467138707457821</v>
      </c>
      <c r="DH5" s="16">
        <f t="shared" ref="DH5" si="62">DH3+DH4</f>
        <v>41.395556733863394</v>
      </c>
      <c r="DI5" s="16">
        <f t="shared" ref="DI5" si="63">DI3+DI4</f>
        <v>30.175355575038552</v>
      </c>
      <c r="DJ5" s="16">
        <f t="shared" ref="DJ5" si="64">DJ3+DJ4</f>
        <v>15.265370350918468</v>
      </c>
      <c r="DK5" s="16">
        <f t="shared" ref="DK5" si="65">DK3+DK4</f>
        <v>3.5553887080552822</v>
      </c>
      <c r="DL5" s="16">
        <f t="shared" ref="DL5" si="66">DL3+DL4</f>
        <v>3.0000000000000001E-3</v>
      </c>
      <c r="DM5" s="11">
        <f>SUM(CR5:DL5)</f>
        <v>641.99613029237128</v>
      </c>
      <c r="DN5" s="11">
        <f t="shared" si="34"/>
        <v>33.901701843850134</v>
      </c>
      <c r="DO5" s="11">
        <f t="shared" si="35"/>
        <v>17.819097121317498</v>
      </c>
      <c r="DP5" s="11">
        <f t="shared" si="6"/>
        <v>285.80061796669918</v>
      </c>
      <c r="DQ5" s="11">
        <f t="shared" si="36"/>
        <v>157.86181007533349</v>
      </c>
      <c r="DR5" s="15">
        <f t="shared" si="37"/>
        <v>0.44517498545753353</v>
      </c>
      <c r="DS5" s="15">
        <f t="shared" si="38"/>
        <v>0.24589215203437706</v>
      </c>
      <c r="DT5" s="11">
        <f>SUM(CV5:CY5)</f>
        <v>51.512066805813454</v>
      </c>
      <c r="DV5" s="288"/>
      <c r="DW5" s="289"/>
      <c r="DX5" s="30">
        <f>DX4</f>
        <v>2025</v>
      </c>
      <c r="DY5" s="5" t="s">
        <v>23</v>
      </c>
      <c r="DZ5" s="16">
        <f>DZ3+DZ4</f>
        <v>17.294841000900622</v>
      </c>
      <c r="EA5" s="16">
        <f t="shared" ref="EA5:ET5" si="67">EA3+EA4</f>
        <v>24.911429286020493</v>
      </c>
      <c r="EB5" s="16">
        <f t="shared" si="67"/>
        <v>29.59140712039639</v>
      </c>
      <c r="EC5" s="16">
        <f t="shared" si="67"/>
        <v>25.912671365794701</v>
      </c>
      <c r="ED5" s="16">
        <f t="shared" si="67"/>
        <v>12.214959563053597</v>
      </c>
      <c r="EE5" s="16">
        <f t="shared" si="67"/>
        <v>25.888367429098867</v>
      </c>
      <c r="EF5" s="16">
        <f t="shared" si="67"/>
        <v>24.641817988780467</v>
      </c>
      <c r="EG5" s="16">
        <f t="shared" si="67"/>
        <v>26.766921824880523</v>
      </c>
      <c r="EH5" s="16">
        <f t="shared" si="67"/>
        <v>39.217210461814915</v>
      </c>
      <c r="EI5" s="16">
        <f t="shared" si="67"/>
        <v>26.303408416490299</v>
      </c>
      <c r="EJ5" s="16">
        <f t="shared" si="67"/>
        <v>46.212785857638124</v>
      </c>
      <c r="EK5" s="16">
        <f t="shared" si="67"/>
        <v>39.734787925232048</v>
      </c>
      <c r="EL5" s="16">
        <f t="shared" si="67"/>
        <v>50.504904085570935</v>
      </c>
      <c r="EM5" s="16">
        <f t="shared" si="67"/>
        <v>60.624672986916565</v>
      </c>
      <c r="EN5" s="16">
        <f t="shared" si="67"/>
        <v>67.314134904449119</v>
      </c>
      <c r="EO5" s="16">
        <f t="shared" si="67"/>
        <v>67.467138707457821</v>
      </c>
      <c r="EP5" s="16">
        <f t="shared" si="67"/>
        <v>41.395556733863394</v>
      </c>
      <c r="EQ5" s="16">
        <f t="shared" si="67"/>
        <v>30.175355575038552</v>
      </c>
      <c r="ER5" s="16">
        <f t="shared" si="67"/>
        <v>15.265370350918468</v>
      </c>
      <c r="ES5" s="16">
        <f t="shared" si="67"/>
        <v>3.5553887080552822</v>
      </c>
      <c r="ET5" s="16">
        <f t="shared" si="67"/>
        <v>3.0000000000000001E-3</v>
      </c>
      <c r="EU5" s="11">
        <f>SUM(DZ5:ET5)</f>
        <v>674.99613029237128</v>
      </c>
      <c r="EV5" s="11">
        <f t="shared" si="41"/>
        <v>32.701701843850131</v>
      </c>
      <c r="EW5" s="11">
        <f t="shared" si="42"/>
        <v>17.019097121317497</v>
      </c>
      <c r="EX5" s="11">
        <f t="shared" si="10"/>
        <v>285.80061796669918</v>
      </c>
      <c r="EY5" s="11">
        <f t="shared" si="43"/>
        <v>157.86181007533349</v>
      </c>
      <c r="EZ5" s="15">
        <f t="shared" si="44"/>
        <v>0.42341075028519948</v>
      </c>
      <c r="FA5" s="15">
        <f t="shared" si="45"/>
        <v>0.233870689017071</v>
      </c>
      <c r="FB5" s="11">
        <f>SUM(ED5:EG5)</f>
        <v>89.512066805813447</v>
      </c>
    </row>
    <row r="6" spans="1:158" x14ac:dyDescent="0.15">
      <c r="A6" s="7" t="str">
        <f t="shared" si="11"/>
        <v>2010_1</v>
      </c>
      <c r="B6" s="28">
        <v>2010</v>
      </c>
      <c r="C6" s="3" t="s">
        <v>21</v>
      </c>
      <c r="D6" s="9">
        <v>9</v>
      </c>
      <c r="E6" s="9">
        <v>9</v>
      </c>
      <c r="F6" s="9">
        <v>14</v>
      </c>
      <c r="G6" s="9">
        <v>21</v>
      </c>
      <c r="H6" s="9">
        <v>15</v>
      </c>
      <c r="I6" s="9">
        <v>12</v>
      </c>
      <c r="J6" s="9">
        <v>14</v>
      </c>
      <c r="K6" s="9">
        <v>11</v>
      </c>
      <c r="L6" s="9">
        <v>25</v>
      </c>
      <c r="M6" s="9">
        <v>26</v>
      </c>
      <c r="N6" s="9">
        <v>27</v>
      </c>
      <c r="O6" s="9">
        <v>35</v>
      </c>
      <c r="P6" s="9">
        <v>37</v>
      </c>
      <c r="Q6" s="9">
        <v>24</v>
      </c>
      <c r="R6" s="9">
        <v>31</v>
      </c>
      <c r="S6" s="9">
        <v>30</v>
      </c>
      <c r="T6" s="9">
        <v>21</v>
      </c>
      <c r="U6" s="9">
        <v>3</v>
      </c>
      <c r="V6" s="9">
        <v>3</v>
      </c>
      <c r="W6" s="9">
        <v>0</v>
      </c>
      <c r="X6" s="9">
        <v>0</v>
      </c>
      <c r="Y6" s="9">
        <f t="shared" ref="Y6:Y11" si="68">SUM(D6:X6)</f>
        <v>367</v>
      </c>
      <c r="Z6" s="9">
        <f t="shared" si="12"/>
        <v>13.8</v>
      </c>
      <c r="AA6" s="9">
        <f t="shared" si="13"/>
        <v>9.8000000000000007</v>
      </c>
      <c r="AB6" s="9">
        <f t="shared" si="0"/>
        <v>112</v>
      </c>
      <c r="AC6" s="9">
        <f t="shared" si="14"/>
        <v>57</v>
      </c>
      <c r="AD6" s="13">
        <f t="shared" si="15"/>
        <v>0.30517711171662126</v>
      </c>
      <c r="AE6" s="13">
        <f t="shared" si="16"/>
        <v>0.15531335149863759</v>
      </c>
      <c r="AF6" s="9">
        <f t="shared" si="17"/>
        <v>52</v>
      </c>
      <c r="AH6" s="7"/>
      <c r="AI6" s="30" t="s">
        <v>91</v>
      </c>
      <c r="AJ6" s="5">
        <f>AJ5</f>
        <v>2010</v>
      </c>
      <c r="AK6" s="5">
        <f>AK5</f>
        <v>2015</v>
      </c>
      <c r="AL6" s="33" t="s">
        <v>22</v>
      </c>
      <c r="AM6" s="193">
        <f>IF(AND(VLOOKUP($AJ6&amp;"_2",$A:$X,AM$9,FALSE)&lt;1,VLOOKUP($AK6&amp;"_2",$A:$X,AM$10,FALSE)&lt;1),1,IF(AND(VLOOKUP($AJ6&amp;"_2",$A:$X,AM$9,FALSE)&lt;1,VLOOKUP($AK6&amp;"_2",$A:$X,AM$10,FALSE)&gt;=1),VLOOKUP($AK6&amp;"_2",$A:$X,AM$10,FALSE)/1,IF(AND(VLOOKUP($AJ6&amp;"_2",$A:$X,AM$9,FALSE)&gt;=1,VLOOKUP($AK6&amp;"_2",$A:$X,AM$10,FALSE)&lt;1),1/VLOOKUP($AJ6&amp;"_2",$A:$X,AM$9,FALSE),IF(AND(VLOOKUP($AJ6&amp;"_2",$A:$X,AM$9,FALSE)&gt;=1,VLOOKUP($AK6&amp;"_2",$A:$X,AM$10,FALSE)&gt;=1),VLOOKUP($AK6&amp;"_2",$A:$X,AM$10,FALSE)/VLOOKUP($AJ6&amp;"_2",$A:$X,AM$9,FALSE)))))</f>
        <v>1.2727272727272727</v>
      </c>
      <c r="AN6" s="193">
        <f t="shared" si="18"/>
        <v>0.9</v>
      </c>
      <c r="AO6" s="193">
        <f t="shared" si="18"/>
        <v>0.86956521739130432</v>
      </c>
      <c r="AP6" s="193">
        <f t="shared" si="18"/>
        <v>0.72222222222222221</v>
      </c>
      <c r="AQ6" s="193">
        <f t="shared" si="18"/>
        <v>0.90909090909090906</v>
      </c>
      <c r="AR6" s="193">
        <f t="shared" si="18"/>
        <v>0.94117647058823528</v>
      </c>
      <c r="AS6" s="193">
        <f t="shared" si="18"/>
        <v>2.3333333333333335</v>
      </c>
      <c r="AT6" s="193">
        <f t="shared" si="18"/>
        <v>1.0909090909090908</v>
      </c>
      <c r="AU6" s="193">
        <f t="shared" si="18"/>
        <v>0.86956521739130432</v>
      </c>
      <c r="AV6" s="193">
        <f t="shared" si="18"/>
        <v>0.92307692307692313</v>
      </c>
      <c r="AW6" s="193">
        <f t="shared" si="18"/>
        <v>0.8125</v>
      </c>
      <c r="AX6" s="193">
        <f t="shared" si="18"/>
        <v>1.1142857142857143</v>
      </c>
      <c r="AY6" s="193">
        <f t="shared" si="18"/>
        <v>1.0526315789473684</v>
      </c>
      <c r="AZ6" s="193">
        <f t="shared" si="18"/>
        <v>1.0277777777777777</v>
      </c>
      <c r="BA6" s="193">
        <f t="shared" si="18"/>
        <v>0.89655172413793105</v>
      </c>
      <c r="BB6" s="193">
        <f t="shared" si="18"/>
        <v>0.66666666666666663</v>
      </c>
      <c r="BC6" s="193">
        <f t="shared" si="18"/>
        <v>0.82608695652173914</v>
      </c>
      <c r="BD6" s="193">
        <f t="shared" si="18"/>
        <v>0.46153846153846156</v>
      </c>
      <c r="BE6" s="193">
        <f>IF(AND(VLOOKUP($AJ6&amp;"_2",$A:$X,BE$9,FALSE)&lt;1,VLOOKUP($AK6&amp;"_2",$A:$X,BE$10,FALSE)&lt;1),0,IF(AND(VLOOKUP($AJ6&amp;"_2",$A:$X,BE$9,FALSE)&lt;1,VLOOKUP($AK6&amp;"_2",$A:$X,BE$10,FALSE)&gt;=1),VLOOKUP($AK6&amp;"_2",$A:$X,BE$10,FALSE)/1,IF(AND(VLOOKUP($AJ6&amp;"_2",$A:$X,BE$9,FALSE)&gt;=1,VLOOKUP($AK6&amp;"_2",$A:$X,BE$10,FALSE)&lt;1),0,IF(AND(VLOOKUP($AJ6&amp;"_2",$A:$X,BE$9,FALSE)&gt;=1,VLOOKUP($AK6&amp;"_2",$A:$X,BE$10,FALSE)&gt;=1),VLOOKUP($AK6&amp;"_2",$A:$X,BE$10,FALSE)/VLOOKUP($AJ6&amp;"_2",$A:$X,BE$9,FALSE)))))</f>
        <v>0.16666666666666666</v>
      </c>
      <c r="BF6" s="193">
        <f>IF(AND(VLOOKUP($AJ6&amp;"_2",$A:$X,BF$9,FALSE)&lt;1,VLOOKUP($AK6&amp;"_2",$A:$X,BF$10,FALSE)&lt;1),0,IF(AND(VLOOKUP($AJ6&amp;"_2",$A:$X,BF$9,FALSE)&lt;1,VLOOKUP($AK6&amp;"_2",$A:$X,BF$10,FALSE)&gt;=1),VLOOKUP($AK6&amp;"_2",$A:$X,BF$10,FALSE)/1,IF(AND(VLOOKUP($AJ6&amp;"_2",$A:$X,BF$9,FALSE)&gt;=1,VLOOKUP($AK6&amp;"_2",$A:$X,BF$10,FALSE)&lt;1),0,IF(AND(VLOOKUP($AJ6&amp;"_2",$A:$X,BF$9,FALSE)&gt;=1,VLOOKUP($AK6&amp;"_2",$A:$X,BF$10,FALSE)&gt;=1),VLOOKUP($AK6&amp;"_2",$A:$X,BF$10,FALSE)/VLOOKUP($AJ6&amp;"_2",$A:$X,BF$9,FALSE)))))</f>
        <v>0</v>
      </c>
      <c r="BH6" s="7" t="str">
        <f t="shared" si="19"/>
        <v>2030_1</v>
      </c>
      <c r="BI6" s="28">
        <f>管理者入力シート!B9</f>
        <v>2030</v>
      </c>
      <c r="BJ6" s="3" t="s">
        <v>21</v>
      </c>
      <c r="BK6" s="9">
        <f>CM7*$AK$13</f>
        <v>4.9854124394329666</v>
      </c>
      <c r="BL6" s="9">
        <f>IF(管理者入力シート!$B$14=1,BK3*管理者用人口入力シート!AM$3,IF(管理者入力シート!$B$14=2,BK3*管理者用人口入力シート!AM$7))</f>
        <v>6.4975872433060644</v>
      </c>
      <c r="BM6" s="9">
        <f>IF(管理者入力シート!$B$14=1,BL3*管理者用人口入力シート!AN$3,IF(管理者入力シート!$B$14=2,BL3*管理者用人口入力シート!AN$7))</f>
        <v>9.8147449333640822</v>
      </c>
      <c r="BN6" s="9">
        <f>IF(管理者入力シート!$B$14=1,BM3*管理者用人口入力シート!AO$3,IF(管理者入力シート!$B$14=2,BM3*管理者用人口入力シート!AO$7))</f>
        <v>12.426290613561974</v>
      </c>
      <c r="BO6" s="9">
        <f>IF(管理者入力シート!$B$14=1,BN3*管理者用人口入力シート!AP$3,IF(管理者入力シート!$B$14=2,BN3*管理者用人口入力シート!AP$7))</f>
        <v>7.0082555788515162</v>
      </c>
      <c r="BP6" s="9">
        <f>IF(管理者入力シート!$B$14=1,BO3*管理者用人口入力シート!AQ$3,IF(管理者入力シート!$B$14=2,BO3*管理者用人口入力シート!AQ$7))</f>
        <v>2.5141574442188355</v>
      </c>
      <c r="BQ6" s="9">
        <f>IF(管理者入力シート!$B$14=1,BP3*管理者用人口入力シート!AR$3,IF(管理者入力シート!$B$14=2,BP3*管理者用人口入力シート!AR$7))</f>
        <v>1.9266865889711311</v>
      </c>
      <c r="BR6" s="9">
        <f>IF(管理者入力シート!$B$14=1,BQ3*管理者用人口入力シート!AS$3,IF(管理者入力シート!$B$14=2,BQ3*管理者用人口入力シート!AS$7))</f>
        <v>5.123475382979799</v>
      </c>
      <c r="BS6" s="9">
        <f>IF(管理者入力シート!$B$14=1,BR3*管理者用人口入力シート!AT$3,IF(管理者入力シート!$B$14=2,BR3*管理者用人口入力シート!AT$7))</f>
        <v>4.5868247229386299</v>
      </c>
      <c r="BT6" s="9">
        <f>IF(管理者入力シート!$B$14=1,BS3*管理者用人口入力シート!AU$3,IF(管理者入力シート!$B$14=2,BS3*管理者用人口入力シート!AU$7))</f>
        <v>21.660521273002221</v>
      </c>
      <c r="BU6" s="9">
        <f>IF(管理者入力シート!$B$14=1,BT3*管理者用人口入力シート!AV$3,IF(管理者入力シート!$B$14=2,BT3*管理者用人口入力シート!AV$7))</f>
        <v>14.12036172994925</v>
      </c>
      <c r="BV6" s="9">
        <f>IF(管理者入力シート!$B$14=1,BU3*管理者用人口入力シート!AW$3,IF(管理者入力シート!$B$14=2,BU3*管理者用人口入力シート!AW$7))</f>
        <v>20.375953650798465</v>
      </c>
      <c r="BW6" s="9">
        <f>IF(管理者入力シート!$B$14=1,BV3*管理者用人口入力シート!AX$3,IF(管理者入力シート!$B$14=2,BV3*管理者用人口入力シート!AX$7))</f>
        <v>19.881314510531404</v>
      </c>
      <c r="BX6" s="9">
        <f>IF(管理者入力シート!$B$14=1,BW3*管理者用人口入力シート!AY$3,IF(管理者入力シート!$B$14=2,BW3*管理者用人口入力シート!AY$7))</f>
        <v>23.752741198724497</v>
      </c>
      <c r="BY6" s="9">
        <f>IF(管理者入力シート!$B$14=1,BX3*管理者用人口入力シート!AZ$3,IF(管理者入力シート!$B$14=2,BX3*管理者用人口入力シート!AZ$7))</f>
        <v>26.205387971223757</v>
      </c>
      <c r="BZ6" s="9">
        <f>IF(管理者入力シート!$B$14=1,BY3*管理者用人口入力シート!BA$3,IF(管理者入力シート!$B$14=2,BY3*管理者用人口入力シート!BA$7))</f>
        <v>25.786624439813753</v>
      </c>
      <c r="CA6" s="9">
        <f>IF(管理者入力シート!$B$14=1,BZ3*管理者用人口入力シート!BB$3,IF(管理者入力シート!$B$14=2,BZ3*管理者用人口入力シート!BB$7))</f>
        <v>24.65419747254872</v>
      </c>
      <c r="CB6" s="9">
        <f>IF(管理者入力シート!$B$14=1,CA3*管理者用人口入力シート!BC$3,IF(管理者入力シート!$B$14=2,CA3*管理者用人口入力シート!BC$7))</f>
        <v>11.138806752656045</v>
      </c>
      <c r="CC6" s="9">
        <f>IF(管理者入力シート!$B$14=1,CB3*管理者用人口入力シート!BD$3,IF(管理者入力シート!$B$14=2,CB3*管理者用人口入力シート!BD$7))</f>
        <v>4.5049208838016428</v>
      </c>
      <c r="CD6" s="9">
        <f>IF(管理者入力シート!$B$14=1,CC3*管理者用人口入力シート!BE$3,IF(管理者入力シート!$B$14=2,CC3*管理者用人口入力シート!BE$7))</f>
        <v>0.11113247657830427</v>
      </c>
      <c r="CE6" s="9">
        <f>IF(管理者入力シート!$B$14=1,CD3*管理者用人口入力シート!BF$3,IF(管理者入力シート!$B$14=2,CD3*管理者用人口入力シート!BF$7))</f>
        <v>9.1287092917527685E-5</v>
      </c>
      <c r="CF6" s="9">
        <f t="shared" si="2"/>
        <v>247.07548859434598</v>
      </c>
      <c r="CG6" s="9">
        <f t="shared" si="20"/>
        <v>9.7873993060020883</v>
      </c>
      <c r="CH6" s="9">
        <f t="shared" si="21"/>
        <v>6.4111560960580274</v>
      </c>
      <c r="CI6" s="9">
        <f t="shared" si="3"/>
        <v>116.15390248243962</v>
      </c>
      <c r="CJ6" s="9">
        <f t="shared" si="22"/>
        <v>66.195773312491383</v>
      </c>
      <c r="CK6" s="13">
        <f t="shared" si="23"/>
        <v>0.47011503708141472</v>
      </c>
      <c r="CL6" s="13">
        <f t="shared" si="24"/>
        <v>0.26791720088904925</v>
      </c>
      <c r="CM6" s="9">
        <f t="shared" si="25"/>
        <v>16.572574995021281</v>
      </c>
      <c r="CO6" s="7" t="str">
        <f t="shared" si="26"/>
        <v>2030_1</v>
      </c>
      <c r="CP6" s="28">
        <f>管理者入力シート!B9</f>
        <v>2030</v>
      </c>
      <c r="CQ6" s="3" t="s">
        <v>21</v>
      </c>
      <c r="CR6" s="9">
        <f>DT7*$AK$13+将来予測シート②!$G17</f>
        <v>6.5556582089732105</v>
      </c>
      <c r="CS6" s="9">
        <f>IF(管理者入力シート!$B$14=1,CR3*管理者用人口入力シート!AM$3,IF(管理者入力シート!$B$14=2,CR3*管理者用人口入力シート!AM$7))+将来予測シート②!$G18</f>
        <v>7.7320140430027999</v>
      </c>
      <c r="CT6" s="9">
        <f>IF(管理者入力シート!$B$14=1,CS3*管理者用人口入力シート!AN$3,IF(管理者入力シート!$B$14=2,CS3*管理者用人口入力シート!AN$7))+将来予測シート②!$G19</f>
        <v>10.814744933364082</v>
      </c>
      <c r="CU6" s="9">
        <f>IF(管理者入力シート!$B$14=1,CT3*管理者用人口入力シート!AO$3,IF(管理者入力シート!$B$14=2,CT3*管理者用人口入力シート!AO$7))+将来予測シート②!$G20</f>
        <v>13.110054072319803</v>
      </c>
      <c r="CV6" s="9">
        <f>IF(管理者入力シート!$B$14=1,CU3*管理者用人口入力シート!AP$3,IF(管理者入力シート!$B$14=2,CU3*管理者用人口入力シート!AP$7))+将来予測シート②!$G21</f>
        <v>7.0082555788515162</v>
      </c>
      <c r="CW6" s="9">
        <f>IF(管理者入力シート!$B$14=1,CV3*管理者用人口入力シート!AQ$3,IF(管理者入力シート!$B$14=2,CV3*管理者用人口入力シート!AQ$7))+将来予測シート②!$G22</f>
        <v>4.514157444218835</v>
      </c>
      <c r="CX6" s="9">
        <f>IF(管理者入力シート!$B$14=1,CW3*管理者用人口入力シート!AR$3,IF(管理者入力シート!$B$14=2,CW3*管理者用人口入力シート!AR$7))+将来予測シート②!$G23</f>
        <v>3.2495622445034265</v>
      </c>
      <c r="CY6" s="9">
        <f>IF(管理者入力シート!$B$14=1,CX3*管理者用人口入力シート!AS$3,IF(管理者入力シート!$B$14=2,CX3*管理者用人口入力シート!AS$7))+将来予測シート②!$G24</f>
        <v>5.123475382979799</v>
      </c>
      <c r="CZ6" s="9">
        <f>IF(管理者入力シート!$B$14=1,CY3*管理者用人口入力シート!AT$3,IF(管理者入力シート!$B$14=2,CY3*管理者用人口入力シート!AT$7))+将来予測シート②!$G25</f>
        <v>4.5868247229386299</v>
      </c>
      <c r="DA6" s="9">
        <f>IF(管理者入力シート!$B$14=1,CZ3*管理者用人口入力シート!AU$3,IF(管理者入力シート!$B$14=2,CZ3*管理者用人口入力シート!AU$7))+将来予測シート②!$G26</f>
        <v>21.660521273002221</v>
      </c>
      <c r="DB6" s="9">
        <f>IF(管理者入力シート!$B$14=1,DA3*管理者用人口入力シート!AV$3,IF(管理者入力シート!$B$14=2,DA3*管理者用人口入力シート!AV$7))+将来予測シート②!$G27</f>
        <v>14.12036172994925</v>
      </c>
      <c r="DC6" s="9">
        <f>IF(管理者入力シート!$B$14=1,DB3*管理者用人口入力シート!AW$3,IF(管理者入力シート!$B$14=2,DB3*管理者用人口入力シート!AW$7))+将来予測シート②!$G28</f>
        <v>20.375953650798465</v>
      </c>
      <c r="DD6" s="9">
        <f>IF(管理者入力シート!$B$14=1,DC3*管理者用人口入力シート!AX$3,IF(管理者入力シート!$B$14=2,DC3*管理者用人口入力シート!AX$7))+将来予測シート②!$G29</f>
        <v>19.881314510531404</v>
      </c>
      <c r="DE6" s="9">
        <f>IF(管理者入力シート!$B$14=1,DD3*管理者用人口入力シート!AY$3,IF(管理者入力シート!$B$14=2,DD3*管理者用人口入力シート!AY$7))</f>
        <v>23.752741198724497</v>
      </c>
      <c r="DF6" s="9">
        <f>IF(管理者入力シート!$B$14=1,DE3*管理者用人口入力シート!AZ$3,IF(管理者入力シート!$B$14=2,DE3*管理者用人口入力シート!AZ$7))</f>
        <v>26.205387971223757</v>
      </c>
      <c r="DG6" s="9">
        <f>IF(管理者入力シート!$B$14=1,DF3*管理者用人口入力シート!BA$3,IF(管理者入力シート!$B$14=2,DF3*管理者用人口入力シート!BA$7))</f>
        <v>25.786624439813753</v>
      </c>
      <c r="DH6" s="9">
        <f>IF(管理者入力シート!$B$14=1,DG3*管理者用人口入力シート!BB$3,IF(管理者入力シート!$B$14=2,DG3*管理者用人口入力シート!BB$7))</f>
        <v>24.65419747254872</v>
      </c>
      <c r="DI6" s="9">
        <f>IF(管理者入力シート!$B$14=1,DH3*管理者用人口入力シート!BC$3,IF(管理者入力シート!$B$14=2,DH3*管理者用人口入力シート!BC$7))</f>
        <v>11.138806752656045</v>
      </c>
      <c r="DJ6" s="9">
        <f>IF(管理者入力シート!$B$14=1,DI3*管理者用人口入力シート!BD$3,IF(管理者入力シート!$B$14=2,DI3*管理者用人口入力シート!BD$7))</f>
        <v>4.5049208838016428</v>
      </c>
      <c r="DK6" s="9">
        <f>IF(管理者入力シート!$B$14=1,DJ3*管理者用人口入力シート!BE$3,IF(管理者入力シート!$B$14=2,DJ3*管理者用人口入力シート!BE$7))</f>
        <v>0.11113247657830427</v>
      </c>
      <c r="DL6" s="9">
        <f>IF(管理者入力シート!$B$14=1,DK3*管理者用人口入力シート!BF$3,IF(管理者入力シート!$B$14=2,DK3*管理者用人口入力シート!BF$7))</f>
        <v>9.1287092917527685E-5</v>
      </c>
      <c r="DM6" s="9">
        <f t="shared" ref="DM6:DM14" si="69">SUM(CR6:DL6)</f>
        <v>254.88680027787308</v>
      </c>
      <c r="DN6" s="9">
        <f t="shared" si="34"/>
        <v>11.128055385820129</v>
      </c>
      <c r="DO6" s="9">
        <f t="shared" si="35"/>
        <v>6.9479087878095935</v>
      </c>
      <c r="DP6" s="9">
        <f t="shared" si="6"/>
        <v>116.15390248243962</v>
      </c>
      <c r="DQ6" s="9">
        <f t="shared" si="36"/>
        <v>66.195773312491383</v>
      </c>
      <c r="DR6" s="13">
        <f t="shared" si="37"/>
        <v>0.45570779795505567</v>
      </c>
      <c r="DS6" s="13">
        <f t="shared" si="38"/>
        <v>0.25970655695126593</v>
      </c>
      <c r="DT6" s="9">
        <f t="shared" ref="DT6:DT14" si="70">SUM(CV6:CY6)</f>
        <v>19.895450650553578</v>
      </c>
      <c r="DV6" s="7" t="s">
        <v>400</v>
      </c>
      <c r="DX6" s="28">
        <f>管理者入力シート!B9</f>
        <v>2030</v>
      </c>
      <c r="DY6" s="3" t="s">
        <v>21</v>
      </c>
      <c r="DZ6" s="9">
        <f>FB7*$AK$13</f>
        <v>11.054582202120077</v>
      </c>
      <c r="EA6" s="129">
        <f>IF(管理者入力シート!$B$14=1,DZ3*管理者用人口入力シート!AM$3,IF(管理者入力シート!$B$14=2,DZ3*管理者用人口入力シート!AM$7))</f>
        <v>6.4975872433060644</v>
      </c>
      <c r="EB6" s="9">
        <f>IF(管理者入力シート!$B$14=1,EA3*管理者用人口入力シート!AN$3,IF(管理者入力シート!$B$14=2,EA3*管理者用人口入力シート!AN$7))</f>
        <v>9.8147449333640822</v>
      </c>
      <c r="EC6" s="9">
        <f>IF(管理者入力シート!$B$14=1,EB3*管理者用人口入力シート!AO$3,IF(管理者入力シート!$B$14=2,EB3*管理者用人口入力シート!AO$7))</f>
        <v>12.426290613561974</v>
      </c>
      <c r="ED6" s="9">
        <f>IF(管理者入力シート!$B$14=1,EC3*管理者用人口入力シート!AP$3,IF(管理者入力シート!$B$14=2,EC3*管理者用人口入力シート!AP$7))</f>
        <v>7.0082555788515162</v>
      </c>
      <c r="EE6" s="9">
        <f>IF(管理者入力シート!$B$14=1,ED3*管理者用人口入力シート!AQ$3,IF(管理者入力シート!$B$14=2,ED3*管理者用人口入力シート!AQ$7))+DX1</f>
        <v>9.514157444218835</v>
      </c>
      <c r="EF6" s="9">
        <f>IF(管理者入力シート!$B$14=1,EE3*管理者用人口入力シート!AR$3,IF(管理者入力シート!$B$14=2,EE3*管理者用人口入力シート!AR$7))+DX1</f>
        <v>13.556751383334166</v>
      </c>
      <c r="EG6" s="9">
        <f>IF(管理者入力シート!$B$14=1,EF3*管理者用人口入力シート!AS$3,IF(管理者入力シート!$B$14=2,EF3*管理者用人口入力シート!AS$7))+DX1</f>
        <v>19.86944207539463</v>
      </c>
      <c r="EH6" s="9">
        <f>IF(管理者入力シート!$B$14=1,EG3*管理者用人口入力シート!AT$3,IF(管理者入力シート!$B$14=2,EG3*管理者用人口入力シート!AT$7))</f>
        <v>14.258714638847234</v>
      </c>
      <c r="EI6" s="9">
        <f>IF(管理者入力シート!$B$14=1,EH3*管理者用人口入力シート!AU$3,IF(管理者入力シート!$B$14=2,EH3*管理者用人口入力シート!AU$7))</f>
        <v>21.660521273002221</v>
      </c>
      <c r="EJ6" s="9">
        <f>IF(管理者入力シート!$B$14=1,EI3*管理者用人口入力シート!AV$3,IF(管理者入力シート!$B$14=2,EI3*管理者用人口入力シート!AV$7))</f>
        <v>14.12036172994925</v>
      </c>
      <c r="EK6" s="9">
        <f>IF(管理者入力シート!$B$14=1,EJ3*管理者用人口入力シート!AW$3,IF(管理者入力シート!$B$14=2,EJ3*管理者用人口入力シート!AW$7))</f>
        <v>20.375953650798465</v>
      </c>
      <c r="EL6" s="9">
        <f>IF(管理者入力シート!$B$14=1,EK3*管理者用人口入力シート!AX$3,IF(管理者入力シート!$B$14=2,EK3*管理者用人口入力シート!AX$7))</f>
        <v>19.881314510531404</v>
      </c>
      <c r="EM6" s="9">
        <f>IF(管理者入力シート!$B$14=1,EL3*管理者用人口入力シート!AY$3,IF(管理者入力シート!$B$14=2,EL3*管理者用人口入力シート!AY$7))</f>
        <v>23.752741198724497</v>
      </c>
      <c r="EN6" s="9">
        <f>IF(管理者入力シート!$B$14=1,EM3*管理者用人口入力シート!AZ$3,IF(管理者入力シート!$B$14=2,EM3*管理者用人口入力シート!AZ$7))</f>
        <v>26.205387971223757</v>
      </c>
      <c r="EO6" s="9">
        <f>IF(管理者入力シート!$B$14=1,EN3*管理者用人口入力シート!BA$3,IF(管理者入力シート!$B$14=2,EN3*管理者用人口入力シート!BA$7))</f>
        <v>25.786624439813753</v>
      </c>
      <c r="EP6" s="9">
        <f>IF(管理者入力シート!$B$14=1,EO3*管理者用人口入力シート!BB$3,IF(管理者入力シート!$B$14=2,EO3*管理者用人口入力シート!BB$7))</f>
        <v>24.65419747254872</v>
      </c>
      <c r="EQ6" s="9">
        <f>IF(管理者入力シート!$B$14=1,EP3*管理者用人口入力シート!BC$3,IF(管理者入力シート!$B$14=2,EP3*管理者用人口入力シート!BC$7))</f>
        <v>11.138806752656045</v>
      </c>
      <c r="ER6" s="9">
        <f>IF(管理者入力シート!$B$14=1,EQ3*管理者用人口入力シート!BD$3,IF(管理者入力シート!$B$14=2,EQ3*管理者用人口入力シート!BD$7))</f>
        <v>4.5049208838016428</v>
      </c>
      <c r="ES6" s="9">
        <f>IF(管理者入力シート!$B$14=1,ER3*管理者用人口入力シート!BE$3,IF(管理者入力シート!$B$14=2,ER3*管理者用人口入力シート!BE$7))</f>
        <v>0.11113247657830427</v>
      </c>
      <c r="ET6" s="9">
        <f>IF(管理者入力シート!$B$14=1,ES3*管理者用人口入力シート!BF$3,IF(管理者入力シート!$B$14=2,ES3*管理者用人口入力シート!BF$7))</f>
        <v>9.1287092917527685E-5</v>
      </c>
      <c r="EU6" s="9">
        <f t="shared" ref="EU6:EU14" si="71">SUM(DZ6:ET6)</f>
        <v>296.19257975971948</v>
      </c>
      <c r="EV6" s="9">
        <f t="shared" si="41"/>
        <v>9.7873993060020883</v>
      </c>
      <c r="EW6" s="9">
        <f t="shared" si="42"/>
        <v>6.4111560960580274</v>
      </c>
      <c r="EX6" s="9">
        <f t="shared" si="10"/>
        <v>116.15390248243962</v>
      </c>
      <c r="EY6" s="9">
        <f t="shared" si="43"/>
        <v>66.195773312491383</v>
      </c>
      <c r="EZ6" s="13">
        <f t="shared" si="44"/>
        <v>0.39215669270535825</v>
      </c>
      <c r="FA6" s="13">
        <f t="shared" si="45"/>
        <v>0.22348896574718863</v>
      </c>
      <c r="FB6" s="9">
        <f t="shared" ref="FB6:FB14" si="72">SUM(ED6:EG6)</f>
        <v>49.948606481799146</v>
      </c>
    </row>
    <row r="7" spans="1:158" x14ac:dyDescent="0.15">
      <c r="A7" s="7" t="str">
        <f t="shared" si="11"/>
        <v>2010_2</v>
      </c>
      <c r="B7" s="29">
        <v>2010</v>
      </c>
      <c r="C7" s="4" t="s">
        <v>22</v>
      </c>
      <c r="D7" s="10">
        <v>11</v>
      </c>
      <c r="E7" s="10">
        <v>10</v>
      </c>
      <c r="F7" s="10">
        <v>23</v>
      </c>
      <c r="G7" s="10">
        <v>18</v>
      </c>
      <c r="H7" s="10">
        <v>11</v>
      </c>
      <c r="I7" s="10">
        <v>17</v>
      </c>
      <c r="J7" s="10">
        <v>6</v>
      </c>
      <c r="K7" s="10">
        <v>22</v>
      </c>
      <c r="L7" s="10">
        <v>23</v>
      </c>
      <c r="M7" s="10">
        <v>26</v>
      </c>
      <c r="N7" s="10">
        <v>32</v>
      </c>
      <c r="O7" s="10">
        <v>35</v>
      </c>
      <c r="P7" s="10">
        <v>38</v>
      </c>
      <c r="Q7" s="10">
        <v>36</v>
      </c>
      <c r="R7" s="10">
        <v>29</v>
      </c>
      <c r="S7" s="10">
        <v>36</v>
      </c>
      <c r="T7" s="10">
        <v>23</v>
      </c>
      <c r="U7" s="10">
        <v>13</v>
      </c>
      <c r="V7" s="10">
        <v>6</v>
      </c>
      <c r="W7" s="10">
        <v>1</v>
      </c>
      <c r="X7" s="10">
        <v>0</v>
      </c>
      <c r="Y7" s="10">
        <f t="shared" si="68"/>
        <v>416</v>
      </c>
      <c r="Z7" s="10">
        <f t="shared" si="12"/>
        <v>19.8</v>
      </c>
      <c r="AA7" s="10">
        <f t="shared" si="13"/>
        <v>12.799999999999999</v>
      </c>
      <c r="AB7" s="10">
        <f t="shared" si="0"/>
        <v>144</v>
      </c>
      <c r="AC7" s="10">
        <f t="shared" si="14"/>
        <v>79</v>
      </c>
      <c r="AD7" s="14">
        <f t="shared" si="15"/>
        <v>0.34615384615384615</v>
      </c>
      <c r="AE7" s="14">
        <f t="shared" si="16"/>
        <v>0.18990384615384615</v>
      </c>
      <c r="AF7" s="10">
        <f t="shared" si="17"/>
        <v>56</v>
      </c>
      <c r="AH7" s="7"/>
      <c r="AI7" s="28" t="s">
        <v>88</v>
      </c>
      <c r="AJ7" s="3">
        <f>管理者入力シート!B7</f>
        <v>2010</v>
      </c>
      <c r="AK7" s="3">
        <f>管理者入力シート!B5</f>
        <v>2020</v>
      </c>
      <c r="AL7" s="31" t="s">
        <v>21</v>
      </c>
      <c r="AM7" s="48">
        <f t="shared" ref="AM7:BF8" si="73">IF(AND(AM3&gt;0,AM5&gt;0),SQRT(AM3*AM5),IF(AND(AM3=0,AM5&gt;0),SQRT(0.001*AM5),IF(AND(AM3&gt;0,AM5=0),SQRT(AM3*0.001),IF(AND(AM3=0,AM5=0),SQRT(0.001*0.001)))))</f>
        <v>1.2344267996967353</v>
      </c>
      <c r="AN7" s="48">
        <f t="shared" si="73"/>
        <v>1.1358360166811596</v>
      </c>
      <c r="AO7" s="48">
        <f t="shared" si="73"/>
        <v>0.68376345875782774</v>
      </c>
      <c r="AP7" s="48">
        <f t="shared" si="73"/>
        <v>0.5394490624751247</v>
      </c>
      <c r="AQ7" s="48">
        <f t="shared" si="73"/>
        <v>0.58257526500353529</v>
      </c>
      <c r="AR7" s="48">
        <f t="shared" si="73"/>
        <v>0.66143782776614768</v>
      </c>
      <c r="AS7" s="48">
        <f t="shared" si="73"/>
        <v>1.1065666703449761</v>
      </c>
      <c r="AT7" s="48">
        <f t="shared" si="73"/>
        <v>1.3816985594155149</v>
      </c>
      <c r="AU7" s="48">
        <f t="shared" si="73"/>
        <v>0.9797958971132712</v>
      </c>
      <c r="AV7" s="48">
        <f t="shared" si="73"/>
        <v>0.96076892283052284</v>
      </c>
      <c r="AW7" s="48">
        <f t="shared" si="73"/>
        <v>0.8836652066992704</v>
      </c>
      <c r="AX7" s="48">
        <f t="shared" si="73"/>
        <v>1.0713664578268827</v>
      </c>
      <c r="AY7" s="48">
        <f t="shared" si="73"/>
        <v>1.007750472865687</v>
      </c>
      <c r="AZ7" s="48">
        <f t="shared" si="73"/>
        <v>0.9287087810503355</v>
      </c>
      <c r="BA7" s="48">
        <f t="shared" si="73"/>
        <v>0.89568076861719392</v>
      </c>
      <c r="BB7" s="48">
        <f t="shared" si="73"/>
        <v>0.76460145475625707</v>
      </c>
      <c r="BC7" s="48">
        <f t="shared" si="73"/>
        <v>0.66218733262730389</v>
      </c>
      <c r="BD7" s="48">
        <f t="shared" si="73"/>
        <v>0.35805743701971643</v>
      </c>
      <c r="BE7" s="48">
        <f t="shared" si="73"/>
        <v>1.8257418583505537E-2</v>
      </c>
      <c r="BF7" s="48">
        <f t="shared" si="73"/>
        <v>1E-3</v>
      </c>
      <c r="BH7" s="7" t="str">
        <f t="shared" si="19"/>
        <v>2030_2</v>
      </c>
      <c r="BI7" s="29">
        <f>BI6</f>
        <v>2030</v>
      </c>
      <c r="BJ7" s="4" t="s">
        <v>22</v>
      </c>
      <c r="BK7" s="10">
        <f>CM7*$AK$14</f>
        <v>11.395228432989637</v>
      </c>
      <c r="BL7" s="10">
        <f>IF(管理者入力シート!$B$14=1,BK4*管理者用人口入力シート!AM$4,IF(管理者入力シート!$B$14=2,BK4*管理者用人口入力シート!AM$8))</f>
        <v>12.234552261341923</v>
      </c>
      <c r="BM7" s="10">
        <f>IF(管理者入力シート!$B$14=1,BL4*管理者用人口入力シート!AN$4,IF(管理者入力シート!$B$14=2,BL4*管理者用人口入力シート!AN$8))</f>
        <v>14.29049270732755</v>
      </c>
      <c r="BN7" s="10">
        <f>IF(管理者入力シート!$B$14=1,BM4*管理者用人口入力シート!AO$4,IF(管理者入力シート!$B$14=2,BM4*管理者用人口入力シート!AO$8))</f>
        <v>12.294522337329969</v>
      </c>
      <c r="BO7" s="10">
        <f>IF(管理者入力シート!$B$14=1,BN4*管理者用人口入力シート!AP$4,IF(管理者入力シート!$B$14=2,BN4*管理者用人口入力シート!AP$8))</f>
        <v>8.5057525291391194</v>
      </c>
      <c r="BP7" s="10">
        <f>IF(管理者入力シート!$B$14=1,BO4*管理者用人口入力シート!AQ$4,IF(管理者入力シート!$B$14=2,BO4*管理者用人口入力シート!AQ$8))</f>
        <v>5.9083915670079712</v>
      </c>
      <c r="BQ7" s="10">
        <f>IF(管理者入力シート!$B$14=1,BP4*管理者用人口入力シート!AR$4,IF(管理者入力シート!$B$14=2,BP4*管理者用人口入力シート!AR$8))</f>
        <v>6.7448046645531701</v>
      </c>
      <c r="BR7" s="10">
        <f>IF(管理者入力シート!$B$14=1,BQ4*管理者用人口入力シート!AS$4,IF(管理者入力シート!$B$14=2,BQ4*管理者用人口入力シート!AS$8))</f>
        <v>9.4657276529593855</v>
      </c>
      <c r="BS7" s="10">
        <f>IF(管理者入力シート!$B$14=1,BR4*管理者用人口入力シート!AT$4,IF(管理者入力シート!$B$14=2,BR4*管理者用人口入力シート!AT$8))</f>
        <v>9.5083695189601745</v>
      </c>
      <c r="BT7" s="10">
        <f>IF(管理者入力シート!$B$14=1,BS4*管理者用人口入力シート!AU$4,IF(管理者入力シート!$B$14=2,BS4*管理者用人口入力シート!AU$8))</f>
        <v>15.275929996798256</v>
      </c>
      <c r="BU7" s="10">
        <f>IF(管理者入力シート!$B$14=1,BT4*管理者用人口入力シート!AV$4,IF(管理者入力シート!$B$14=2,BT4*管理者用人口入力シート!AV$8))</f>
        <v>12.215457064897238</v>
      </c>
      <c r="BV7" s="10">
        <f>IF(管理者入力シート!$B$14=1,BU4*管理者用人口入力シート!AW$4,IF(管理者入力シート!$B$14=2,BU4*管理者用人口入力シート!AW$8))</f>
        <v>20.431593183107381</v>
      </c>
      <c r="BW7" s="10">
        <f>IF(管理者入力シート!$B$14=1,BV4*管理者用人口入力シート!AX$4,IF(管理者入力シート!$B$14=2,BV4*管理者用人口入力シート!AX$8))</f>
        <v>24.800921641860697</v>
      </c>
      <c r="BX7" s="10">
        <f>IF(管理者入力シート!$B$14=1,BW4*管理者用人口入力シート!AY$4,IF(管理者入力シート!$B$14=2,BW4*管理者用人口入力シート!AY$8))</f>
        <v>27.277974853128523</v>
      </c>
      <c r="BY7" s="10">
        <f>IF(管理者入力シート!$B$14=1,BX4*管理者用人口入力シート!AZ$4,IF(管理者入力シート!$B$14=2,BX4*管理者用人口入力シート!AZ$8))</f>
        <v>32.854683066957122</v>
      </c>
      <c r="BZ7" s="10">
        <f>IF(管理者入力シート!$B$14=1,BY4*管理者用人口入力シート!BA$4,IF(管理者入力シート!$B$14=2,BY4*管理者用人口入力シート!BA$8))</f>
        <v>33.923059212873959</v>
      </c>
      <c r="CA7" s="10">
        <f>IF(管理者入力シート!$B$14=1,BZ4*管理者用人口入力シート!BB$4,IF(管理者入力シート!$B$14=2,BZ4*管理者用人口入力シート!BB$8))</f>
        <v>27.049136653962897</v>
      </c>
      <c r="CB7" s="10">
        <f>IF(管理者入力シート!$B$14=1,CA4*管理者用人口入力シート!BC$4,IF(管理者入力シート!$B$14=2,CA4*管理者用人口入力シート!BC$8))</f>
        <v>18.798072277963005</v>
      </c>
      <c r="CC7" s="10">
        <f>IF(管理者入力シート!$B$14=1,CB4*管理者用人口入力シート!BD$4,IF(管理者入力シート!$B$14=2,CB4*管理者用人口入力シート!BD$8))</f>
        <v>9.4989878003274235</v>
      </c>
      <c r="CD7" s="10">
        <f>IF(管理者入力シート!$B$14=1,CC4*管理者用人口入力シート!BE$4,IF(管理者入力シート!$B$14=2,CC4*管理者用人口入力シート!BE$8))</f>
        <v>2.6495741006772682</v>
      </c>
      <c r="CE7" s="10">
        <f>IF(管理者入力シート!$B$14=1,CD4*管理者用人口入力シート!BF$4,IF(管理者入力シート!$B$14=2,CD4*管理者用人口入力シート!BF$8))</f>
        <v>3.4641016151377543E-3</v>
      </c>
      <c r="CF7" s="10">
        <f t="shared" si="2"/>
        <v>315.12669562577776</v>
      </c>
      <c r="CG7" s="10">
        <f t="shared" si="20"/>
        <v>15.915026981201684</v>
      </c>
      <c r="CH7" s="10">
        <f t="shared" si="21"/>
        <v>8.175101550397013</v>
      </c>
      <c r="CI7" s="10">
        <f t="shared" si="3"/>
        <v>152.05495206750535</v>
      </c>
      <c r="CJ7" s="10">
        <f t="shared" si="22"/>
        <v>91.922294147419692</v>
      </c>
      <c r="CK7" s="14">
        <f t="shared" si="23"/>
        <v>0.48252005995732933</v>
      </c>
      <c r="CL7" s="14">
        <f t="shared" si="24"/>
        <v>0.29169948285365238</v>
      </c>
      <c r="CM7" s="10">
        <f t="shared" si="25"/>
        <v>30.62467641365965</v>
      </c>
      <c r="CO7" s="7" t="str">
        <f t="shared" si="26"/>
        <v>2030_2</v>
      </c>
      <c r="CP7" s="29">
        <f>CP6</f>
        <v>2030</v>
      </c>
      <c r="CQ7" s="4" t="s">
        <v>22</v>
      </c>
      <c r="CR7" s="10">
        <f>DT7*$AK$14+将来予測シート②!$H17</f>
        <v>13.698647334795909</v>
      </c>
      <c r="CS7" s="10">
        <f>IF(管理者入力シート!$B$14=1,CR4*管理者用人口入力シート!AM$4,IF(管理者入力シート!$B$14=2,CR4*管理者用人口入力シート!AM$8))+将来予測シート②!$H18</f>
        <v>13.251454866850882</v>
      </c>
      <c r="CT7" s="10">
        <f>IF(管理者入力シート!$B$14=1,CS4*管理者用人口入力シート!AN$4,IF(管理者入力シート!$B$14=2,CS4*管理者用人口入力シート!AN$8))+将来予測シート②!$H19</f>
        <v>15.29049270732755</v>
      </c>
      <c r="CU7" s="10">
        <f>IF(管理者入力シート!$B$14=1,CT4*管理者用人口入力シート!AO$4,IF(管理者入力シート!$B$14=2,CT4*管理者用人口入力シート!AO$8))+将来予測シート②!$H20</f>
        <v>13.3712861414463</v>
      </c>
      <c r="CV7" s="10">
        <f>IF(管理者入力シート!$B$14=1,CU4*管理者用人口入力シート!AP$4,IF(管理者入力シート!$B$14=2,CU4*管理者用人口入力シート!AP$8))+将来予測シート②!$H21</f>
        <v>8.5057525291391194</v>
      </c>
      <c r="CW7" s="10">
        <f>IF(管理者入力シート!$B$14=1,CV4*管理者用人口入力シート!AQ$4,IF(管理者入力シート!$B$14=2,CV4*管理者用人口入力シート!AQ$8))+将来予測シート②!$H22</f>
        <v>7.9083915670079712</v>
      </c>
      <c r="CX7" s="10">
        <f>IF(管理者入力シート!$B$14=1,CW4*管理者用人口入力シート!AR$4,IF(管理者入力シート!$B$14=2,CW4*管理者用人口入力シート!AR$8))+将来予測シート②!$H23</f>
        <v>8.2477429631575294</v>
      </c>
      <c r="CY7" s="10">
        <f>IF(管理者入力シート!$B$14=1,CX4*管理者用人口入力シート!AS$4,IF(管理者入力シート!$B$14=2,CX4*管理者用人口入力シート!AS$8))+将来予測シート②!$H24</f>
        <v>9.4657276529593855</v>
      </c>
      <c r="CZ7" s="10">
        <f>IF(管理者入力シート!$B$14=1,CY4*管理者用人口入力シート!AT$4,IF(管理者入力シート!$B$14=2,CY4*管理者用人口入力シート!AT$8))+将来予測シート②!$H25</f>
        <v>10.508369518960174</v>
      </c>
      <c r="DA7" s="10">
        <f>IF(管理者入力シート!$B$14=1,CZ4*管理者用人口入力シート!AU$4,IF(管理者入力シート!$B$14=2,CZ4*管理者用人口入力シート!AU$8))+将来予測シート②!$H26</f>
        <v>16.168735378320658</v>
      </c>
      <c r="DB7" s="10">
        <f>IF(管理者入力シート!$B$14=1,DA4*管理者用人口入力シート!AV$4,IF(管理者入力シート!$B$14=2,DA4*管理者用人口入力シート!AV$8))+将来予測シート②!$H27</f>
        <v>12.215457064897238</v>
      </c>
      <c r="DC7" s="10">
        <f>IF(管理者入力シート!$B$14=1,DB4*管理者用人口入力シート!AW$4,IF(管理者入力シート!$B$14=2,DB4*管理者用人口入力シート!AW$8))+将来予測シート②!$H28</f>
        <v>20.431593183107381</v>
      </c>
      <c r="DD7" s="10">
        <f>IF(管理者入力シート!$B$14=1,DC4*管理者用人口入力シート!AX$4,IF(管理者入力シート!$B$14=2,DC4*管理者用人口入力シート!AX$8))+将来予測シート②!$H29</f>
        <v>24.800921641860697</v>
      </c>
      <c r="DE7" s="10">
        <f>IF(管理者入力シート!$B$14=1,DD4*管理者用人口入力シート!AY$4,IF(管理者入力シート!$B$14=2,DD4*管理者用人口入力シート!AY$8))</f>
        <v>27.277974853128523</v>
      </c>
      <c r="DF7" s="10">
        <f>IF(管理者入力シート!$B$14=1,DE4*管理者用人口入力シート!AZ$4,IF(管理者入力シート!$B$14=2,DE4*管理者用人口入力シート!AZ$8))</f>
        <v>32.854683066957122</v>
      </c>
      <c r="DG7" s="10">
        <f>IF(管理者入力シート!$B$14=1,DF4*管理者用人口入力シート!BA$4,IF(管理者入力シート!$B$14=2,DF4*管理者用人口入力シート!BA$8))</f>
        <v>33.923059212873959</v>
      </c>
      <c r="DH7" s="10">
        <f>IF(管理者入力シート!$B$14=1,DG4*管理者用人口入力シート!BB$4,IF(管理者入力シート!$B$14=2,DG4*管理者用人口入力シート!BB$8))</f>
        <v>27.049136653962897</v>
      </c>
      <c r="DI7" s="10">
        <f>IF(管理者入力シート!$B$14=1,DH4*管理者用人口入力シート!BC$4,IF(管理者入力シート!$B$14=2,DH4*管理者用人口入力シート!BC$8))</f>
        <v>18.798072277963005</v>
      </c>
      <c r="DJ7" s="10">
        <f>IF(管理者入力シート!$B$14=1,DI4*管理者用人口入力シート!BD$4,IF(管理者入力シート!$B$14=2,DI4*管理者用人口入力シート!BD$8))</f>
        <v>9.4989878003274235</v>
      </c>
      <c r="DK7" s="10">
        <f>IF(管理者入力シート!$B$14=1,DJ4*管理者用人口入力シート!BE$4,IF(管理者入力シート!$B$14=2,DJ4*管理者用人口入力シート!BE$8))</f>
        <v>2.6495741006772682</v>
      </c>
      <c r="DL7" s="10">
        <f>IF(管理者入力シート!$B$14=1,DK4*管理者用人口入力シート!BF$4,IF(管理者入力シート!$B$14=2,DK4*管理者用人口入力シート!BF$8))</f>
        <v>3.4641016151377543E-3</v>
      </c>
      <c r="DM7" s="10">
        <f t="shared" si="69"/>
        <v>325.91952461733609</v>
      </c>
      <c r="DN7" s="10">
        <f t="shared" si="34"/>
        <v>17.125168544507058</v>
      </c>
      <c r="DO7" s="10">
        <f t="shared" si="35"/>
        <v>8.7904543112202802</v>
      </c>
      <c r="DP7" s="10">
        <f t="shared" si="6"/>
        <v>152.05495206750535</v>
      </c>
      <c r="DQ7" s="10">
        <f t="shared" si="36"/>
        <v>91.922294147419692</v>
      </c>
      <c r="DR7" s="14">
        <f t="shared" si="37"/>
        <v>0.46654140234781549</v>
      </c>
      <c r="DS7" s="14">
        <f t="shared" si="38"/>
        <v>0.28203985095813505</v>
      </c>
      <c r="DT7" s="10">
        <f t="shared" si="70"/>
        <v>34.127614712264005</v>
      </c>
      <c r="DV7" s="7" t="s">
        <v>401</v>
      </c>
      <c r="DW7" s="209">
        <f>(SUM(BK12:BV12)-SUM(D12:O12))/4</f>
        <v>-23.956538043127722</v>
      </c>
      <c r="DX7" s="29">
        <f>DX6</f>
        <v>2030</v>
      </c>
      <c r="DY7" s="4" t="s">
        <v>22</v>
      </c>
      <c r="DZ7" s="10">
        <f>FB7*$AK$14</f>
        <v>25.267616461988748</v>
      </c>
      <c r="EA7" s="10">
        <f>IF(管理者入力シート!$B$14=1,DZ4*管理者用人口入力シート!AM$4,IF(管理者入力シート!$B$14=2,DZ4*管理者用人口入力シート!AM$8))</f>
        <v>12.234552261341923</v>
      </c>
      <c r="EB7" s="10">
        <f>IF(管理者入力シート!$B$14=1,EA4*管理者用人口入力シート!AN$4,IF(管理者入力シート!$B$14=2,EA4*管理者用人口入力シート!AN$8))</f>
        <v>14.29049270732755</v>
      </c>
      <c r="EC7" s="10">
        <f>IF(管理者入力シート!$B$14=1,EB4*管理者用人口入力シート!AO$4,IF(管理者入力シート!$B$14=2,EB4*管理者用人口入力シート!AO$8))</f>
        <v>12.294522337329969</v>
      </c>
      <c r="ED7" s="10">
        <f>IF(管理者入力シート!$B$14=1,EC4*管理者用人口入力シート!AP$4,IF(管理者入力シート!$B$14=2,EC4*管理者用人口入力シート!AP$8))</f>
        <v>8.5057525291391194</v>
      </c>
      <c r="EE7" s="10">
        <f>IF(管理者入力シート!$B$14=1,ED4*管理者用人口入力シート!AQ$4,IF(管理者入力シート!$B$14=2,ED4*管理者用人口入力シート!AQ$8))+DX1</f>
        <v>12.908391567007971</v>
      </c>
      <c r="EF7" s="10">
        <f>IF(管理者入力シート!$B$14=1,EE4*管理者用人口入力シート!AR$4,IF(管理者入力シート!$B$14=2,EE4*管理者用人口入力シート!AR$8))+DX1</f>
        <v>19.005088709668428</v>
      </c>
      <c r="EG7" s="10">
        <f>IF(管理者入力シート!$B$14=1,EF4*管理者用人口入力シート!AS$4,IF(管理者入力シート!$B$14=2,EF4*管理者用人口入力シート!AS$8))+DX1</f>
        <v>27.487486435779243</v>
      </c>
      <c r="EH7" s="10">
        <f>IF(管理者入力シート!$B$14=1,EG4*管理者用人口入力シート!AT$4,IF(管理者入力シート!$B$14=2,EG4*管理者用人口入力シート!AT$8))</f>
        <v>16.553677435322925</v>
      </c>
      <c r="EI7" s="10">
        <f>IF(管理者入力シート!$B$14=1,EH4*管理者用人口入力シート!AU$4,IF(管理者入力シート!$B$14=2,EH4*管理者用人口入力シート!AU$8))</f>
        <v>15.275929996798256</v>
      </c>
      <c r="EJ7" s="10">
        <f>IF(管理者入力シート!$B$14=1,EI4*管理者用人口入力シート!AV$4,IF(管理者入力シート!$B$14=2,EI4*管理者用人口入力シート!AV$8))</f>
        <v>12.215457064897238</v>
      </c>
      <c r="EK7" s="10">
        <f>IF(管理者入力シート!$B$14=1,EJ4*管理者用人口入力シート!AW$4,IF(管理者入力シート!$B$14=2,EJ4*管理者用人口入力シート!AW$8))</f>
        <v>20.431593183107381</v>
      </c>
      <c r="EL7" s="10">
        <f>IF(管理者入力シート!$B$14=1,EK4*管理者用人口入力シート!AX$4,IF(管理者入力シート!$B$14=2,EK4*管理者用人口入力シート!AX$8))</f>
        <v>24.800921641860697</v>
      </c>
      <c r="EM7" s="10">
        <f>IF(管理者入力シート!$B$14=1,EL4*管理者用人口入力シート!AY$4,IF(管理者入力シート!$B$14=2,EL4*管理者用人口入力シート!AY$8))</f>
        <v>27.277974853128523</v>
      </c>
      <c r="EN7" s="10">
        <f>IF(管理者入力シート!$B$14=1,EM4*管理者用人口入力シート!AZ$4,IF(管理者入力シート!$B$14=2,EM4*管理者用人口入力シート!AZ$8))</f>
        <v>32.854683066957122</v>
      </c>
      <c r="EO7" s="10">
        <f>IF(管理者入力シート!$B$14=1,EN4*管理者用人口入力シート!BA$4,IF(管理者入力シート!$B$14=2,EN4*管理者用人口入力シート!BA$8))</f>
        <v>33.923059212873959</v>
      </c>
      <c r="EP7" s="10">
        <f>IF(管理者入力シート!$B$14=1,EO4*管理者用人口入力シート!BB$4,IF(管理者入力シート!$B$14=2,EO4*管理者用人口入力シート!BB$8))</f>
        <v>27.049136653962897</v>
      </c>
      <c r="EQ7" s="10">
        <f>IF(管理者入力シート!$B$14=1,EP4*管理者用人口入力シート!BC$4,IF(管理者入力シート!$B$14=2,EP4*管理者用人口入力シート!BC$8))</f>
        <v>18.798072277963005</v>
      </c>
      <c r="ER7" s="10">
        <f>IF(管理者入力シート!$B$14=1,EQ4*管理者用人口入力シート!BD$4,IF(管理者入力シート!$B$14=2,EQ4*管理者用人口入力シート!BD$8))</f>
        <v>9.4989878003274235</v>
      </c>
      <c r="ES7" s="10">
        <f>IF(管理者入力シート!$B$14=1,ER4*管理者用人口入力シート!BE$4,IF(管理者入力シート!$B$14=2,ER4*管理者用人口入力シート!BE$8))</f>
        <v>2.6495741006772682</v>
      </c>
      <c r="ET7" s="10">
        <f>IF(管理者入力シート!$B$14=1,ES4*管理者用人口入力シート!BF$4,IF(管理者入力シート!$B$14=2,ES4*管理者用人口入力シート!BF$8))</f>
        <v>3.4641016151377543E-3</v>
      </c>
      <c r="EU7" s="10">
        <f t="shared" si="71"/>
        <v>373.32643439907474</v>
      </c>
      <c r="EV7" s="10">
        <f t="shared" si="41"/>
        <v>15.915026981201684</v>
      </c>
      <c r="EW7" s="10">
        <f t="shared" si="42"/>
        <v>8.175101550397013</v>
      </c>
      <c r="EX7" s="10">
        <f t="shared" si="10"/>
        <v>152.05495206750535</v>
      </c>
      <c r="EY7" s="10">
        <f t="shared" si="43"/>
        <v>91.922294147419692</v>
      </c>
      <c r="EZ7" s="14">
        <f t="shared" si="44"/>
        <v>0.40729757675011885</v>
      </c>
      <c r="FA7" s="14">
        <f t="shared" si="45"/>
        <v>0.24622498081439773</v>
      </c>
      <c r="FB7" s="10">
        <f t="shared" si="72"/>
        <v>67.906719241594757</v>
      </c>
    </row>
    <row r="8" spans="1:158" x14ac:dyDescent="0.15">
      <c r="A8" s="7" t="str">
        <f t="shared" si="11"/>
        <v>2010_3</v>
      </c>
      <c r="B8" s="30">
        <v>2010</v>
      </c>
      <c r="C8" s="5" t="s">
        <v>23</v>
      </c>
      <c r="D8" s="11">
        <v>20</v>
      </c>
      <c r="E8" s="11">
        <v>19</v>
      </c>
      <c r="F8" s="11">
        <v>37</v>
      </c>
      <c r="G8" s="11">
        <v>39</v>
      </c>
      <c r="H8" s="11">
        <v>26</v>
      </c>
      <c r="I8" s="11">
        <v>29</v>
      </c>
      <c r="J8" s="11">
        <v>20</v>
      </c>
      <c r="K8" s="11">
        <v>33</v>
      </c>
      <c r="L8" s="11">
        <v>48</v>
      </c>
      <c r="M8" s="11">
        <v>52</v>
      </c>
      <c r="N8" s="11">
        <v>59</v>
      </c>
      <c r="O8" s="11">
        <v>70</v>
      </c>
      <c r="P8" s="11">
        <v>75</v>
      </c>
      <c r="Q8" s="11">
        <v>60</v>
      </c>
      <c r="R8" s="11">
        <v>60</v>
      </c>
      <c r="S8" s="11">
        <v>66</v>
      </c>
      <c r="T8" s="11">
        <v>44</v>
      </c>
      <c r="U8" s="11">
        <v>16</v>
      </c>
      <c r="V8" s="11">
        <v>9</v>
      </c>
      <c r="W8" s="11">
        <v>1</v>
      </c>
      <c r="X8" s="11">
        <v>0</v>
      </c>
      <c r="Y8" s="11">
        <f t="shared" si="68"/>
        <v>783</v>
      </c>
      <c r="Z8" s="11">
        <f t="shared" si="12"/>
        <v>33.6</v>
      </c>
      <c r="AA8" s="11">
        <f t="shared" si="13"/>
        <v>22.6</v>
      </c>
      <c r="AB8" s="11">
        <f t="shared" si="0"/>
        <v>256</v>
      </c>
      <c r="AC8" s="11">
        <f t="shared" si="14"/>
        <v>136</v>
      </c>
      <c r="AD8" s="15">
        <f t="shared" si="15"/>
        <v>0.3269476372924649</v>
      </c>
      <c r="AE8" s="15">
        <f t="shared" si="16"/>
        <v>0.17369093231162197</v>
      </c>
      <c r="AF8" s="11">
        <f t="shared" si="17"/>
        <v>108</v>
      </c>
      <c r="AH8" s="7"/>
      <c r="AI8" s="30" t="s">
        <v>88</v>
      </c>
      <c r="AJ8" s="5">
        <f>AJ7</f>
        <v>2010</v>
      </c>
      <c r="AK8" s="5">
        <f>AK7</f>
        <v>2020</v>
      </c>
      <c r="AL8" s="33" t="s">
        <v>22</v>
      </c>
      <c r="AM8" s="47">
        <f t="shared" si="73"/>
        <v>1.0169026055089589</v>
      </c>
      <c r="AN8" s="47">
        <f t="shared" si="73"/>
        <v>0.87831006565367986</v>
      </c>
      <c r="AO8" s="47">
        <f t="shared" si="73"/>
        <v>1.076763804116331</v>
      </c>
      <c r="AP8" s="47">
        <f t="shared" si="73"/>
        <v>0.65828058860438332</v>
      </c>
      <c r="AQ8" s="47">
        <f t="shared" si="73"/>
        <v>0.74795759200676581</v>
      </c>
      <c r="AR8" s="47">
        <f t="shared" si="73"/>
        <v>0.75146914930217934</v>
      </c>
      <c r="AS8" s="47">
        <f t="shared" si="73"/>
        <v>1.5745369689742654</v>
      </c>
      <c r="AT8" s="47">
        <f t="shared" si="73"/>
        <v>1.0064725594803929</v>
      </c>
      <c r="AU8" s="47">
        <f t="shared" si="73"/>
        <v>0.8928053815224023</v>
      </c>
      <c r="AV8" s="47">
        <f t="shared" si="73"/>
        <v>1.0524696231684352</v>
      </c>
      <c r="AW8" s="47">
        <f t="shared" si="73"/>
        <v>0.88240910768947378</v>
      </c>
      <c r="AX8" s="47">
        <f t="shared" si="73"/>
        <v>1.1710800875382399</v>
      </c>
      <c r="AY8" s="47">
        <f t="shared" si="73"/>
        <v>1.0127393670836666</v>
      </c>
      <c r="AZ8" s="47">
        <f t="shared" si="73"/>
        <v>1.0137937550497031</v>
      </c>
      <c r="BA8" s="47">
        <f t="shared" si="73"/>
        <v>0.88056577593097118</v>
      </c>
      <c r="BB8" s="47">
        <f t="shared" si="73"/>
        <v>0.76794764778830438</v>
      </c>
      <c r="BC8" s="47">
        <f t="shared" si="73"/>
        <v>0.76494766326607722</v>
      </c>
      <c r="BD8" s="47">
        <f t="shared" si="73"/>
        <v>0.53990552479901699</v>
      </c>
      <c r="BE8" s="47">
        <f t="shared" si="73"/>
        <v>0.28867513459481287</v>
      </c>
      <c r="BF8" s="47">
        <f t="shared" si="73"/>
        <v>1E-3</v>
      </c>
      <c r="BH8" s="7" t="str">
        <f t="shared" si="19"/>
        <v>2030_3</v>
      </c>
      <c r="BI8" s="30">
        <f>BI7</f>
        <v>2030</v>
      </c>
      <c r="BJ8" s="5" t="s">
        <v>23</v>
      </c>
      <c r="BK8" s="16">
        <f>BK6+BK7</f>
        <v>16.380640872422603</v>
      </c>
      <c r="BL8" s="16">
        <f t="shared" ref="BL8" si="74">BL6+BL7</f>
        <v>18.732139504647989</v>
      </c>
      <c r="BM8" s="16">
        <f t="shared" ref="BM8" si="75">BM6+BM7</f>
        <v>24.105237640691634</v>
      </c>
      <c r="BN8" s="16">
        <f t="shared" ref="BN8" si="76">BN6+BN7</f>
        <v>24.720812950891943</v>
      </c>
      <c r="BO8" s="16">
        <f t="shared" ref="BO8" si="77">BO6+BO7</f>
        <v>15.514008107990636</v>
      </c>
      <c r="BP8" s="16">
        <f t="shared" ref="BP8" si="78">BP6+BP7</f>
        <v>8.4225490112268062</v>
      </c>
      <c r="BQ8" s="16">
        <f t="shared" ref="BQ8" si="79">BQ6+BQ7</f>
        <v>8.6714912535243016</v>
      </c>
      <c r="BR8" s="16">
        <f t="shared" ref="BR8" si="80">BR6+BR7</f>
        <v>14.589203035939185</v>
      </c>
      <c r="BS8" s="16">
        <f t="shared" ref="BS8" si="81">BS6+BS7</f>
        <v>14.095194241898804</v>
      </c>
      <c r="BT8" s="16">
        <f t="shared" ref="BT8" si="82">BT6+BT7</f>
        <v>36.936451269800479</v>
      </c>
      <c r="BU8" s="16">
        <f t="shared" ref="BU8" si="83">BU6+BU7</f>
        <v>26.335818794846489</v>
      </c>
      <c r="BV8" s="16">
        <f t="shared" ref="BV8" si="84">BV6+BV7</f>
        <v>40.807546833905846</v>
      </c>
      <c r="BW8" s="16">
        <f t="shared" ref="BW8" si="85">BW6+BW7</f>
        <v>44.6822361523921</v>
      </c>
      <c r="BX8" s="16">
        <f t="shared" ref="BX8" si="86">BX6+BX7</f>
        <v>51.03071605185302</v>
      </c>
      <c r="BY8" s="16">
        <f t="shared" ref="BY8" si="87">BY6+BY7</f>
        <v>59.06007103818088</v>
      </c>
      <c r="BZ8" s="16">
        <f t="shared" ref="BZ8" si="88">BZ6+BZ7</f>
        <v>59.709683652687715</v>
      </c>
      <c r="CA8" s="16">
        <f t="shared" ref="CA8" si="89">CA6+CA7</f>
        <v>51.703334126511621</v>
      </c>
      <c r="CB8" s="16">
        <f t="shared" ref="CB8" si="90">CB6+CB7</f>
        <v>29.93687903061905</v>
      </c>
      <c r="CC8" s="16">
        <f t="shared" ref="CC8" si="91">CC6+CC7</f>
        <v>14.003908684129065</v>
      </c>
      <c r="CD8" s="16">
        <f t="shared" ref="CD8" si="92">CD6+CD7</f>
        <v>2.7607065772555726</v>
      </c>
      <c r="CE8" s="16">
        <f t="shared" ref="CE8" si="93">CE6+CE7</f>
        <v>3.555388708055282E-3</v>
      </c>
      <c r="CF8" s="11">
        <f t="shared" si="2"/>
        <v>562.20218422012374</v>
      </c>
      <c r="CG8" s="11">
        <f t="shared" si="20"/>
        <v>25.702426287203775</v>
      </c>
      <c r="CH8" s="11">
        <f t="shared" si="21"/>
        <v>14.586257646455042</v>
      </c>
      <c r="CI8" s="11">
        <f t="shared" si="3"/>
        <v>268.20885454994499</v>
      </c>
      <c r="CJ8" s="11">
        <f t="shared" si="22"/>
        <v>158.11806745991109</v>
      </c>
      <c r="CK8" s="15">
        <f t="shared" si="23"/>
        <v>0.47706832537834987</v>
      </c>
      <c r="CL8" s="15">
        <f t="shared" si="24"/>
        <v>0.28124769326403365</v>
      </c>
      <c r="CM8" s="11">
        <f t="shared" si="25"/>
        <v>47.197251408680927</v>
      </c>
      <c r="CO8" s="7" t="str">
        <f t="shared" si="26"/>
        <v>2030_3</v>
      </c>
      <c r="CP8" s="30">
        <f>CP7</f>
        <v>2030</v>
      </c>
      <c r="CQ8" s="5" t="s">
        <v>23</v>
      </c>
      <c r="CR8" s="16">
        <f>CR6+CR7</f>
        <v>20.254305543769121</v>
      </c>
      <c r="CS8" s="16">
        <f t="shared" ref="CS8" si="94">CS6+CS7</f>
        <v>20.983468909853681</v>
      </c>
      <c r="CT8" s="16">
        <f t="shared" ref="CT8" si="95">CT6+CT7</f>
        <v>26.105237640691634</v>
      </c>
      <c r="CU8" s="16">
        <f t="shared" ref="CU8" si="96">CU6+CU7</f>
        <v>26.481340213766103</v>
      </c>
      <c r="CV8" s="16">
        <f t="shared" ref="CV8" si="97">CV6+CV7</f>
        <v>15.514008107990636</v>
      </c>
      <c r="CW8" s="16">
        <f t="shared" ref="CW8" si="98">CW6+CW7</f>
        <v>12.422549011226806</v>
      </c>
      <c r="CX8" s="16">
        <f t="shared" ref="CX8" si="99">CX6+CX7</f>
        <v>11.497305207660956</v>
      </c>
      <c r="CY8" s="16">
        <f t="shared" ref="CY8" si="100">CY6+CY7</f>
        <v>14.589203035939185</v>
      </c>
      <c r="CZ8" s="16">
        <f t="shared" ref="CZ8" si="101">CZ6+CZ7</f>
        <v>15.095194241898804</v>
      </c>
      <c r="DA8" s="16">
        <f t="shared" ref="DA8" si="102">DA6+DA7</f>
        <v>37.829256651322879</v>
      </c>
      <c r="DB8" s="16">
        <f t="shared" ref="DB8" si="103">DB6+DB7</f>
        <v>26.335818794846489</v>
      </c>
      <c r="DC8" s="16">
        <f t="shared" ref="DC8" si="104">DC6+DC7</f>
        <v>40.807546833905846</v>
      </c>
      <c r="DD8" s="16">
        <f t="shared" ref="DD8" si="105">DD6+DD7</f>
        <v>44.6822361523921</v>
      </c>
      <c r="DE8" s="16">
        <f t="shared" ref="DE8" si="106">DE6+DE7</f>
        <v>51.03071605185302</v>
      </c>
      <c r="DF8" s="16">
        <f t="shared" ref="DF8" si="107">DF6+DF7</f>
        <v>59.06007103818088</v>
      </c>
      <c r="DG8" s="16">
        <f t="shared" ref="DG8" si="108">DG6+DG7</f>
        <v>59.709683652687715</v>
      </c>
      <c r="DH8" s="16">
        <f t="shared" ref="DH8" si="109">DH6+DH7</f>
        <v>51.703334126511621</v>
      </c>
      <c r="DI8" s="16">
        <f t="shared" ref="DI8" si="110">DI6+DI7</f>
        <v>29.93687903061905</v>
      </c>
      <c r="DJ8" s="16">
        <f t="shared" ref="DJ8" si="111">DJ6+DJ7</f>
        <v>14.003908684129065</v>
      </c>
      <c r="DK8" s="16">
        <f t="shared" ref="DK8" si="112">DK6+DK7</f>
        <v>2.7607065772555726</v>
      </c>
      <c r="DL8" s="16">
        <f t="shared" ref="DL8" si="113">DL6+DL7</f>
        <v>3.555388708055282E-3</v>
      </c>
      <c r="DM8" s="11">
        <f t="shared" si="69"/>
        <v>580.80632489520917</v>
      </c>
      <c r="DN8" s="11">
        <f t="shared" si="34"/>
        <v>28.253223930327188</v>
      </c>
      <c r="DO8" s="11">
        <f t="shared" si="35"/>
        <v>15.738363099029874</v>
      </c>
      <c r="DP8" s="11">
        <f t="shared" si="6"/>
        <v>268.20885454994499</v>
      </c>
      <c r="DQ8" s="11">
        <f t="shared" si="36"/>
        <v>158.11806745991109</v>
      </c>
      <c r="DR8" s="15">
        <f t="shared" si="37"/>
        <v>0.46178707609345687</v>
      </c>
      <c r="DS8" s="15">
        <f t="shared" si="38"/>
        <v>0.27223888701356552</v>
      </c>
      <c r="DT8" s="11">
        <f t="shared" si="70"/>
        <v>54.023065362817583</v>
      </c>
      <c r="DV8" s="7" t="s">
        <v>402</v>
      </c>
      <c r="DW8" s="209">
        <f>(SUM(BK13:BV13)-SUM(D13:O13))/4</f>
        <v>-16.102944529473781</v>
      </c>
      <c r="DX8" s="30">
        <f>DX7</f>
        <v>2030</v>
      </c>
      <c r="DY8" s="5" t="s">
        <v>23</v>
      </c>
      <c r="DZ8" s="16">
        <f>DZ6+DZ7</f>
        <v>36.322198664108825</v>
      </c>
      <c r="EA8" s="16">
        <f t="shared" ref="EA8:ET8" si="114">EA6+EA7</f>
        <v>18.732139504647989</v>
      </c>
      <c r="EB8" s="16">
        <f t="shared" si="114"/>
        <v>24.105237640691634</v>
      </c>
      <c r="EC8" s="16">
        <f t="shared" si="114"/>
        <v>24.720812950891943</v>
      </c>
      <c r="ED8" s="16">
        <f t="shared" si="114"/>
        <v>15.514008107990636</v>
      </c>
      <c r="EE8" s="16">
        <f t="shared" si="114"/>
        <v>22.422549011226806</v>
      </c>
      <c r="EF8" s="16">
        <f t="shared" si="114"/>
        <v>32.561840093002594</v>
      </c>
      <c r="EG8" s="16">
        <f t="shared" si="114"/>
        <v>47.356928511173876</v>
      </c>
      <c r="EH8" s="16">
        <f t="shared" si="114"/>
        <v>30.812392074170159</v>
      </c>
      <c r="EI8" s="16">
        <f t="shared" si="114"/>
        <v>36.936451269800479</v>
      </c>
      <c r="EJ8" s="16">
        <f t="shared" si="114"/>
        <v>26.335818794846489</v>
      </c>
      <c r="EK8" s="16">
        <f t="shared" si="114"/>
        <v>40.807546833905846</v>
      </c>
      <c r="EL8" s="16">
        <f t="shared" si="114"/>
        <v>44.6822361523921</v>
      </c>
      <c r="EM8" s="16">
        <f t="shared" si="114"/>
        <v>51.03071605185302</v>
      </c>
      <c r="EN8" s="16">
        <f t="shared" si="114"/>
        <v>59.06007103818088</v>
      </c>
      <c r="EO8" s="16">
        <f t="shared" si="114"/>
        <v>59.709683652687715</v>
      </c>
      <c r="EP8" s="16">
        <f t="shared" si="114"/>
        <v>51.703334126511621</v>
      </c>
      <c r="EQ8" s="16">
        <f t="shared" si="114"/>
        <v>29.93687903061905</v>
      </c>
      <c r="ER8" s="16">
        <f t="shared" si="114"/>
        <v>14.003908684129065</v>
      </c>
      <c r="ES8" s="16">
        <f t="shared" si="114"/>
        <v>2.7607065772555726</v>
      </c>
      <c r="ET8" s="16">
        <f t="shared" si="114"/>
        <v>3.555388708055282E-3</v>
      </c>
      <c r="EU8" s="11">
        <f t="shared" si="71"/>
        <v>669.51901415879433</v>
      </c>
      <c r="EV8" s="11">
        <f t="shared" si="41"/>
        <v>25.702426287203775</v>
      </c>
      <c r="EW8" s="11">
        <f t="shared" si="42"/>
        <v>14.586257646455042</v>
      </c>
      <c r="EX8" s="11">
        <f t="shared" si="10"/>
        <v>268.20885454994499</v>
      </c>
      <c r="EY8" s="11">
        <f t="shared" si="43"/>
        <v>158.11806745991109</v>
      </c>
      <c r="EZ8" s="15">
        <f t="shared" si="44"/>
        <v>0.4005993091726176</v>
      </c>
      <c r="FA8" s="15">
        <f t="shared" si="45"/>
        <v>0.2361666571315765</v>
      </c>
      <c r="FB8" s="11">
        <f t="shared" si="72"/>
        <v>117.8553257233939</v>
      </c>
    </row>
    <row r="9" spans="1:158" x14ac:dyDescent="0.15">
      <c r="A9" s="7" t="str">
        <f t="shared" si="11"/>
        <v>2015_1</v>
      </c>
      <c r="B9" s="28">
        <v>2015</v>
      </c>
      <c r="C9" s="3" t="s">
        <v>21</v>
      </c>
      <c r="D9" s="9">
        <v>21</v>
      </c>
      <c r="E9" s="9">
        <v>18</v>
      </c>
      <c r="F9" s="9">
        <v>11</v>
      </c>
      <c r="G9" s="9">
        <v>9</v>
      </c>
      <c r="H9" s="9">
        <v>11</v>
      </c>
      <c r="I9" s="9">
        <v>8</v>
      </c>
      <c r="J9" s="9">
        <v>14</v>
      </c>
      <c r="K9" s="9">
        <v>15</v>
      </c>
      <c r="L9" s="9">
        <v>21</v>
      </c>
      <c r="M9" s="9">
        <v>21</v>
      </c>
      <c r="N9" s="9">
        <v>24</v>
      </c>
      <c r="O9" s="9">
        <v>23</v>
      </c>
      <c r="P9" s="9">
        <v>33</v>
      </c>
      <c r="Q9" s="9">
        <v>40</v>
      </c>
      <c r="R9" s="9">
        <v>23</v>
      </c>
      <c r="S9" s="9">
        <v>26</v>
      </c>
      <c r="T9" s="9">
        <v>24</v>
      </c>
      <c r="U9" s="9">
        <v>13</v>
      </c>
      <c r="V9" s="9">
        <v>1</v>
      </c>
      <c r="W9" s="9">
        <v>1</v>
      </c>
      <c r="X9" s="9">
        <v>0</v>
      </c>
      <c r="Y9" s="9">
        <f t="shared" si="68"/>
        <v>357</v>
      </c>
      <c r="Z9" s="9">
        <f t="shared" si="12"/>
        <v>17.399999999999999</v>
      </c>
      <c r="AA9" s="9">
        <f t="shared" si="13"/>
        <v>6.2</v>
      </c>
      <c r="AB9" s="9">
        <f t="shared" si="0"/>
        <v>128</v>
      </c>
      <c r="AC9" s="9">
        <f t="shared" si="14"/>
        <v>65</v>
      </c>
      <c r="AD9" s="13">
        <f t="shared" si="15"/>
        <v>0.35854341736694678</v>
      </c>
      <c r="AE9" s="13">
        <f t="shared" si="16"/>
        <v>0.18207282913165265</v>
      </c>
      <c r="AF9" s="9">
        <f t="shared" si="17"/>
        <v>48</v>
      </c>
      <c r="AL9" s="46" t="s">
        <v>92</v>
      </c>
      <c r="AM9" s="2">
        <v>4</v>
      </c>
      <c r="AN9" s="2">
        <f>AM9+1</f>
        <v>5</v>
      </c>
      <c r="AO9" s="2">
        <f t="shared" ref="AO9:BF9" si="115">AN9+1</f>
        <v>6</v>
      </c>
      <c r="AP9" s="2">
        <f t="shared" si="115"/>
        <v>7</v>
      </c>
      <c r="AQ9" s="2">
        <f t="shared" si="115"/>
        <v>8</v>
      </c>
      <c r="AR9" s="2">
        <f t="shared" si="115"/>
        <v>9</v>
      </c>
      <c r="AS9" s="2">
        <f t="shared" si="115"/>
        <v>10</v>
      </c>
      <c r="AT9" s="2">
        <f t="shared" si="115"/>
        <v>11</v>
      </c>
      <c r="AU9" s="2">
        <f t="shared" si="115"/>
        <v>12</v>
      </c>
      <c r="AV9" s="2">
        <f t="shared" si="115"/>
        <v>13</v>
      </c>
      <c r="AW9" s="2">
        <f t="shared" si="115"/>
        <v>14</v>
      </c>
      <c r="AX9" s="2">
        <f t="shared" si="115"/>
        <v>15</v>
      </c>
      <c r="AY9" s="2">
        <f t="shared" si="115"/>
        <v>16</v>
      </c>
      <c r="AZ9" s="2">
        <f t="shared" si="115"/>
        <v>17</v>
      </c>
      <c r="BA9" s="2">
        <f t="shared" si="115"/>
        <v>18</v>
      </c>
      <c r="BB9" s="2">
        <f t="shared" si="115"/>
        <v>19</v>
      </c>
      <c r="BC9" s="2">
        <f t="shared" si="115"/>
        <v>20</v>
      </c>
      <c r="BD9" s="2">
        <f t="shared" si="115"/>
        <v>21</v>
      </c>
      <c r="BE9" s="2">
        <f t="shared" si="115"/>
        <v>22</v>
      </c>
      <c r="BF9" s="2">
        <f t="shared" si="115"/>
        <v>23</v>
      </c>
      <c r="BH9" s="7" t="str">
        <f t="shared" si="19"/>
        <v>2035_1</v>
      </c>
      <c r="BI9" s="28">
        <f>管理者入力シート!B10</f>
        <v>2035</v>
      </c>
      <c r="BJ9" s="3" t="s">
        <v>21</v>
      </c>
      <c r="BK9" s="9">
        <f>CM10*$AK$13</f>
        <v>4.8047846745874985</v>
      </c>
      <c r="BL9" s="9">
        <f>IF(管理者入力シート!$B$14=1,BK6*管理者用人口入力シート!AM$3,IF(管理者入力シート!$B$14=2,BK6*管理者用人口入力シート!AM$7))</f>
        <v>6.1541267227775309</v>
      </c>
      <c r="BM9" s="9">
        <f>IF(管理者入力シート!$B$14=1,BL6*管理者用人口入力シート!AN$3,IF(管理者入力シート!$B$14=2,BL6*管理者用人口入力シート!AN$7))</f>
        <v>7.3801936124750771</v>
      </c>
      <c r="BN9" s="9">
        <f>IF(管理者入力シート!$B$14=1,BM6*管理者用人口入力シート!AO$3,IF(管理者入力シート!$B$14=2,BM6*管理者用人口入力シート!AO$7))</f>
        <v>6.7109639424628904</v>
      </c>
      <c r="BO9" s="9">
        <f>IF(管理者入力シート!$B$14=1,BN6*管理者用人口入力シート!AP$3,IF(管理者入力シート!$B$14=2,BN6*管理者用人口入力シート!AP$7))</f>
        <v>6.7033508215294493</v>
      </c>
      <c r="BP9" s="9">
        <f>IF(管理者入力シート!$B$14=1,BO6*管理者用人口入力シート!AQ$3,IF(管理者入力シート!$B$14=2,BO6*管理者用人口入力シート!AQ$7))</f>
        <v>4.0828363510619265</v>
      </c>
      <c r="BQ9" s="9">
        <f>IF(管理者入力シート!$B$14=1,BP6*管理者用人口入力シート!AR$3,IF(管理者入力シート!$B$14=2,BP6*管理者用人口入力シート!AR$7))</f>
        <v>1.6629588385661962</v>
      </c>
      <c r="BR9" s="9">
        <f>IF(管理者入力シート!$B$14=1,BQ6*管理者用人口入力シート!AS$3,IF(管理者入力シート!$B$14=2,BQ6*管理者用人口入力シート!AS$7))</f>
        <v>2.132007163556104</v>
      </c>
      <c r="BS9" s="9">
        <f>IF(管理者入力シート!$B$14=1,BR6*管理者用人口入力シート!AT$3,IF(管理者入力シート!$B$14=2,BR6*管理者用人口入力シート!AT$7))</f>
        <v>7.079098555864042</v>
      </c>
      <c r="BT9" s="9">
        <f>IF(管理者入力シート!$B$14=1,BS6*管理者用人口入力シート!AU$3,IF(管理者入力シート!$B$14=2,BS6*管理者用人口入力シート!AU$7))</f>
        <v>4.4941520443129868</v>
      </c>
      <c r="BU9" s="9">
        <f>IF(管理者入力シート!$B$14=1,BT6*管理者用人口入力シート!AV$3,IF(管理者入力シート!$B$14=2,BT6*管理者用人口入力シート!AV$7))</f>
        <v>20.81075569140997</v>
      </c>
      <c r="BV9" s="9">
        <f>IF(管理者入力シート!$B$14=1,BU6*管理者用人口入力シート!AW$3,IF(管理者入力シート!$B$14=2,BU6*管理者用人口入力シート!AW$7))</f>
        <v>12.477672366764072</v>
      </c>
      <c r="BW9" s="9">
        <f>IF(管理者入力シート!$B$14=1,BV6*管理者用人口入力シート!AX$3,IF(管理者入力シート!$B$14=2,BV6*管理者用人口入力シート!AX$7))</f>
        <v>21.830113287700691</v>
      </c>
      <c r="BX9" s="9">
        <f>IF(管理者入力シート!$B$14=1,BW6*管理者用人口入力シート!AY$3,IF(管理者入力シート!$B$14=2,BW6*管理者用人口入力シート!AY$7))</f>
        <v>20.035404099179466</v>
      </c>
      <c r="BY9" s="9">
        <f>IF(管理者入力シート!$B$14=1,BX6*管理者用人口入力シート!AZ$3,IF(管理者入力シート!$B$14=2,BX6*管理者用人口入力シート!AZ$7))</f>
        <v>22.059379325271511</v>
      </c>
      <c r="BZ9" s="9">
        <f>IF(管理者入力シート!$B$14=1,BY6*管理者用人口入力シート!BA$3,IF(管理者入力シート!$B$14=2,BY6*管理者用人口入力シート!BA$7))</f>
        <v>23.471662039977463</v>
      </c>
      <c r="CA9" s="9">
        <f>IF(管理者入力シート!$B$14=1,BZ6*管理者用人口入力シート!BB$3,IF(管理者入力シート!$B$14=2,BZ6*管理者用人口入力シート!BB$7))</f>
        <v>19.716490559934847</v>
      </c>
      <c r="CB9" s="9">
        <f>IF(管理者入力シート!$B$14=1,CA6*管理者用人口入力シート!BC$3,IF(管理者入力シート!$B$14=2,CA6*管理者用人口入力シート!BC$7))</f>
        <v>16.325697262413854</v>
      </c>
      <c r="CC9" s="9">
        <f>IF(管理者入力シート!$B$14=1,CB6*管理者用人口入力シート!BD$3,IF(管理者入力シート!$B$14=2,CB6*管理者用人口入力シート!BD$7))</f>
        <v>3.9883325973139336</v>
      </c>
      <c r="CD9" s="9">
        <f>IF(管理者入力シート!$B$14=1,CC6*管理者用人口入力シート!BE$3,IF(管理者入力シート!$B$14=2,CC6*管理者用人口入力シート!BE$7))</f>
        <v>8.2248226261142296E-2</v>
      </c>
      <c r="CE9" s="9">
        <f>IF(管理者入力シート!$B$14=1,CD6*管理者用人口入力シート!BF$3,IF(管理者入力シート!$B$14=2,CD6*管理者用人口入力シート!BF$7))</f>
        <v>1.1113247657830428E-4</v>
      </c>
      <c r="CF9" s="9">
        <f t="shared" si="2"/>
        <v>212.00233931589722</v>
      </c>
      <c r="CG9" s="9">
        <f t="shared" si="20"/>
        <v>8.120592201151565</v>
      </c>
      <c r="CH9" s="9">
        <f t="shared" si="21"/>
        <v>4.2942702334826084</v>
      </c>
      <c r="CI9" s="9">
        <f t="shared" si="3"/>
        <v>105.6793252428288</v>
      </c>
      <c r="CJ9" s="9">
        <f t="shared" si="22"/>
        <v>63.584541818377822</v>
      </c>
      <c r="CK9" s="13">
        <f t="shared" si="23"/>
        <v>0.49848188271809474</v>
      </c>
      <c r="CL9" s="13">
        <f t="shared" si="24"/>
        <v>0.29992377453737779</v>
      </c>
      <c r="CM9" s="9">
        <f t="shared" si="25"/>
        <v>14.581153174713675</v>
      </c>
      <c r="CO9" s="7" t="str">
        <f t="shared" si="26"/>
        <v>2035_1</v>
      </c>
      <c r="CP9" s="28">
        <f>管理者入力シート!B10</f>
        <v>2035</v>
      </c>
      <c r="CQ9" s="3" t="s">
        <v>21</v>
      </c>
      <c r="CR9" s="9">
        <f>DT10*$AK$13+将来予測シート②!$G17</f>
        <v>6.875651661988444</v>
      </c>
      <c r="CS9" s="9">
        <f>IF(管理者入力シート!$B$14=1,CR6*管理者用人口入力シート!AM$3,IF(管理者入力シート!$B$14=2,CR6*管理者用人口入力シート!AM$7))+将来予測シート②!$G18</f>
        <v>8.0924801828084316</v>
      </c>
      <c r="CT9" s="9">
        <f>IF(管理者入力シート!$B$14=1,CS6*管理者用人口入力シート!AN$3,IF(管理者入力シート!$B$14=2,CS6*管理者用人口入力シート!AN$7))+将来予測シート②!$G19</f>
        <v>9.7823000315270896</v>
      </c>
      <c r="CU9" s="9">
        <f>IF(管理者入力シート!$B$14=1,CT6*管理者用人口入力シート!AO$3,IF(管理者入力シート!$B$14=2,CT6*管理者用人口入力シート!AO$7))+将来予測シート②!$G20</f>
        <v>7.3947274012207185</v>
      </c>
      <c r="CV9" s="9">
        <f>IF(管理者入力シート!$B$14=1,CU6*管理者用人口入力シート!AP$3,IF(管理者入力シート!$B$14=2,CU6*管理者用人口入力シート!AP$7))+将来予測シート②!$G21</f>
        <v>7.0722063783111082</v>
      </c>
      <c r="CW9" s="9">
        <f>IF(管理者入力シート!$B$14=1,CV6*管理者用人口入力シート!AQ$3,IF(管理者入力シート!$B$14=2,CV6*管理者用人口入力シート!AQ$7))+将来予測シート②!$G22</f>
        <v>6.0828363510619265</v>
      </c>
      <c r="CX9" s="9">
        <f>IF(管理者入力シート!$B$14=1,CW6*管理者用人口入力シート!AR$3,IF(管理者入力シート!$B$14=2,CW6*管理者用人口入力シート!AR$7))+将来予測シート②!$G23</f>
        <v>2.9858344940984911</v>
      </c>
      <c r="CY9" s="9">
        <f>IF(管理者入力シート!$B$14=1,CX6*管理者用人口入力シート!AS$3,IF(管理者入力シート!$B$14=2,CX6*管理者用人口入力シート!AS$7))+将来予測シート②!$G24</f>
        <v>3.595857272978904</v>
      </c>
      <c r="CZ9" s="9">
        <f>IF(管理者入力シート!$B$14=1,CY6*管理者用人口入力シート!AT$3,IF(管理者入力シート!$B$14=2,CY6*管理者用人口入力シート!AT$7))+将来予測シート②!$G25</f>
        <v>7.079098555864042</v>
      </c>
      <c r="DA9" s="9">
        <f>IF(管理者入力シート!$B$14=1,CZ6*管理者用人口入力シート!AU$3,IF(管理者入力シート!$B$14=2,CZ6*管理者用人口入力シート!AU$7))+将来予測シート②!$G26</f>
        <v>4.4941520443129868</v>
      </c>
      <c r="DB9" s="9">
        <f>IF(管理者入力シート!$B$14=1,DA6*管理者用人口入力シート!AV$3,IF(管理者入力シート!$B$14=2,DA6*管理者用人口入力シート!AV$7))+将来予測シート②!$G27</f>
        <v>20.81075569140997</v>
      </c>
      <c r="DC9" s="9">
        <f>IF(管理者入力シート!$B$14=1,DB6*管理者用人口入力シート!AW$3,IF(管理者入力シート!$B$14=2,DB6*管理者用人口入力シート!AW$7))+将来予測シート②!$G28</f>
        <v>12.477672366764072</v>
      </c>
      <c r="DD9" s="9">
        <f>IF(管理者入力シート!$B$14=1,DC6*管理者用人口入力シート!AX$3,IF(管理者入力シート!$B$14=2,DC6*管理者用人口入力シート!AX$7))+将来予測シート②!$G29</f>
        <v>21.830113287700691</v>
      </c>
      <c r="DE9" s="9">
        <f>IF(管理者入力シート!$B$14=1,DD6*管理者用人口入力シート!AY$3,IF(管理者入力シート!$B$14=2,DD6*管理者用人口入力シート!AY$7))</f>
        <v>20.035404099179466</v>
      </c>
      <c r="DF9" s="9">
        <f>IF(管理者入力シート!$B$14=1,DE6*管理者用人口入力シート!AZ$3,IF(管理者入力シート!$B$14=2,DE6*管理者用人口入力シート!AZ$7))</f>
        <v>22.059379325271511</v>
      </c>
      <c r="DG9" s="9">
        <f>IF(管理者入力シート!$B$14=1,DF6*管理者用人口入力シート!BA$3,IF(管理者入力シート!$B$14=2,DF6*管理者用人口入力シート!BA$7))</f>
        <v>23.471662039977463</v>
      </c>
      <c r="DH9" s="9">
        <f>IF(管理者入力シート!$B$14=1,DG6*管理者用人口入力シート!BB$3,IF(管理者入力シート!$B$14=2,DG6*管理者用人口入力シート!BB$7))</f>
        <v>19.716490559934847</v>
      </c>
      <c r="DI9" s="9">
        <f>IF(管理者入力シート!$B$14=1,DH6*管理者用人口入力シート!BC$3,IF(管理者入力シート!$B$14=2,DH6*管理者用人口入力シート!BC$7))</f>
        <v>16.325697262413854</v>
      </c>
      <c r="DJ9" s="9">
        <f>IF(管理者入力シート!$B$14=1,DI6*管理者用人口入力シート!BD$3,IF(管理者入力シート!$B$14=2,DI6*管理者用人口入力シート!BD$7))</f>
        <v>3.9883325973139336</v>
      </c>
      <c r="DK9" s="9">
        <f>IF(管理者入力シート!$B$14=1,DJ6*管理者用人口入力シート!BE$3,IF(管理者入力シート!$B$14=2,DJ6*管理者用人口入力シート!BE$7))</f>
        <v>8.2248226261142296E-2</v>
      </c>
      <c r="DL9" s="9">
        <f>IF(管理者入力シート!$B$14=1,DK6*管理者用人口入力シート!BF$3,IF(管理者入力シート!$B$14=2,DK6*管理者用人口入力シート!BF$7))</f>
        <v>1.1113247657830428E-4</v>
      </c>
      <c r="DM9" s="9">
        <f t="shared" si="69"/>
        <v>224.25301096287566</v>
      </c>
      <c r="DN9" s="9">
        <f t="shared" si="34"/>
        <v>10.724868128601313</v>
      </c>
      <c r="DO9" s="9">
        <f t="shared" si="35"/>
        <v>5.3918654928549792</v>
      </c>
      <c r="DP9" s="9">
        <f t="shared" si="6"/>
        <v>105.6793252428288</v>
      </c>
      <c r="DQ9" s="9">
        <f t="shared" si="36"/>
        <v>63.584541818377822</v>
      </c>
      <c r="DR9" s="13">
        <f t="shared" si="37"/>
        <v>0.47125041839604842</v>
      </c>
      <c r="DS9" s="13">
        <f t="shared" si="38"/>
        <v>0.28353930029908953</v>
      </c>
      <c r="DT9" s="9">
        <f t="shared" si="70"/>
        <v>19.736734496450431</v>
      </c>
      <c r="DV9" s="7" t="s">
        <v>403</v>
      </c>
      <c r="DW9" s="209">
        <f>DW7+DW8</f>
        <v>-40.059482572601503</v>
      </c>
      <c r="DX9" s="28">
        <f>管理者入力シート!B10</f>
        <v>2035</v>
      </c>
      <c r="DY9" s="3" t="s">
        <v>21</v>
      </c>
      <c r="DZ9" s="9">
        <f>FB10*$AK$13</f>
        <v>12.222270294818246</v>
      </c>
      <c r="EA9" s="129">
        <f>IF(管理者入力シート!$B$14=1,DZ6*管理者用人口入力シート!AM$3,IF(管理者入力シート!$B$14=2,DZ6*管理者用人口入力シート!AM$7))</f>
        <v>13.646072529747576</v>
      </c>
      <c r="EB9" s="9">
        <f>IF(管理者入力シート!$B$14=1,EA6*管理者用人口入力シート!AN$3,IF(管理者入力シート!$B$14=2,EA6*管理者用人口入力シート!AN$7))</f>
        <v>7.3801936124750771</v>
      </c>
      <c r="EC9" s="9">
        <f>IF(管理者入力シート!$B$14=1,EB6*管理者用人口入力シート!AO$3,IF(管理者入力シート!$B$14=2,EB6*管理者用人口入力シート!AO$7))</f>
        <v>6.7109639424628904</v>
      </c>
      <c r="ED9" s="9">
        <f>IF(管理者入力シート!$B$14=1,EC6*管理者用人口入力シート!AP$3,IF(管理者入力シート!$B$14=2,EC6*管理者用人口入力シート!AP$7))</f>
        <v>6.7033508215294493</v>
      </c>
      <c r="EE9" s="9">
        <f>IF(管理者入力シート!$B$14=1,ED6*管理者用人口入力シート!AQ$3,IF(管理者入力シート!$B$14=2,ED6*管理者用人口入力シート!AQ$7))+DX1</f>
        <v>11.082836351061927</v>
      </c>
      <c r="EF9" s="9">
        <f>IF(管理者入力シート!$B$14=1,EE6*管理者用人口入力シート!AR$3,IF(管理者入力シート!$B$14=2,EE6*管理者用人口入力シート!AR$7))+DX1</f>
        <v>13.293023632929231</v>
      </c>
      <c r="EG9" s="9">
        <f>IF(管理者入力シート!$B$14=1,EF6*管理者用人口入力シート!AS$3,IF(管理者入力シート!$B$14=2,EF6*管理者用人口入力シート!AS$7))+DX1</f>
        <v>22.001449238950737</v>
      </c>
      <c r="EH9" s="9">
        <f>IF(管理者入力シート!$B$14=1,EG6*管理者用人口入力シート!AT$3,IF(管理者入力シート!$B$14=2,EG6*管理者用人口入力シート!AT$7))</f>
        <v>27.453579491962778</v>
      </c>
      <c r="EI9" s="9">
        <f>IF(管理者入力シート!$B$14=1,EH6*管理者用人口入力シート!AU$3,IF(管理者入力シート!$B$14=2,EH6*管理者用人口入力シート!AU$7))</f>
        <v>13.970630101251459</v>
      </c>
      <c r="EJ9" s="9">
        <f>IF(管理者入力シート!$B$14=1,EI6*管理者用人口入力シート!AV$3,IF(管理者入力シート!$B$14=2,EI6*管理者用人口入力シート!AV$7))</f>
        <v>20.81075569140997</v>
      </c>
      <c r="EK9" s="9">
        <f>IF(管理者入力シート!$B$14=1,EJ6*管理者用人口入力シート!AW$3,IF(管理者入力シート!$B$14=2,EJ6*管理者用人口入力シート!AW$7))</f>
        <v>12.477672366764072</v>
      </c>
      <c r="EL9" s="9">
        <f>IF(管理者入力シート!$B$14=1,EK6*管理者用人口入力シート!AX$3,IF(管理者入力シート!$B$14=2,EK6*管理者用人口入力シート!AX$7))</f>
        <v>21.830113287700691</v>
      </c>
      <c r="EM9" s="9">
        <f>IF(管理者入力シート!$B$14=1,EL6*管理者用人口入力シート!AY$3,IF(管理者入力シート!$B$14=2,EL6*管理者用人口入力シート!AY$7))</f>
        <v>20.035404099179466</v>
      </c>
      <c r="EN9" s="9">
        <f>IF(管理者入力シート!$B$14=1,EM6*管理者用人口入力シート!AZ$3,IF(管理者入力シート!$B$14=2,EM6*管理者用人口入力シート!AZ$7))</f>
        <v>22.059379325271511</v>
      </c>
      <c r="EO9" s="9">
        <f>IF(管理者入力シート!$B$14=1,EN6*管理者用人口入力シート!BA$3,IF(管理者入力シート!$B$14=2,EN6*管理者用人口入力シート!BA$7))</f>
        <v>23.471662039977463</v>
      </c>
      <c r="EP9" s="9">
        <f>IF(管理者入力シート!$B$14=1,EO6*管理者用人口入力シート!BB$3,IF(管理者入力シート!$B$14=2,EO6*管理者用人口入力シート!BB$7))</f>
        <v>19.716490559934847</v>
      </c>
      <c r="EQ9" s="9">
        <f>IF(管理者入力シート!$B$14=1,EP6*管理者用人口入力シート!BC$3,IF(管理者入力シート!$B$14=2,EP6*管理者用人口入力シート!BC$7))</f>
        <v>16.325697262413854</v>
      </c>
      <c r="ER9" s="9">
        <f>IF(管理者入力シート!$B$14=1,EQ6*管理者用人口入力シート!BD$3,IF(管理者入力シート!$B$14=2,EQ6*管理者用人口入力シート!BD$7))</f>
        <v>3.9883325973139336</v>
      </c>
      <c r="ES9" s="9">
        <f>IF(管理者入力シート!$B$14=1,ER6*管理者用人口入力シート!BE$3,IF(管理者入力シート!$B$14=2,ER6*管理者用人口入力シート!BE$7))</f>
        <v>8.2248226261142296E-2</v>
      </c>
      <c r="ET9" s="9">
        <f>IF(管理者入力シート!$B$14=1,ES6*管理者用人口入力シート!BF$3,IF(管理者入力シート!$B$14=2,ES6*管理者用人口入力シート!BF$7))</f>
        <v>1.1113247657830428E-4</v>
      </c>
      <c r="EU9" s="9">
        <f t="shared" si="71"/>
        <v>295.26223660589295</v>
      </c>
      <c r="EV9" s="9">
        <f t="shared" si="41"/>
        <v>12.615759685333593</v>
      </c>
      <c r="EW9" s="9">
        <f t="shared" si="42"/>
        <v>4.2942702334826084</v>
      </c>
      <c r="EX9" s="9">
        <f t="shared" si="10"/>
        <v>105.6793252428288</v>
      </c>
      <c r="EY9" s="9">
        <f t="shared" si="43"/>
        <v>63.584541818377822</v>
      </c>
      <c r="EZ9" s="13">
        <f t="shared" si="44"/>
        <v>0.35791683507392225</v>
      </c>
      <c r="FA9" s="13">
        <f t="shared" si="45"/>
        <v>0.21534938754544672</v>
      </c>
      <c r="FB9" s="9">
        <f t="shared" si="72"/>
        <v>53.080660044471344</v>
      </c>
    </row>
    <row r="10" spans="1:158" x14ac:dyDescent="0.15">
      <c r="A10" s="7" t="str">
        <f t="shared" si="11"/>
        <v>2015_2</v>
      </c>
      <c r="B10" s="29">
        <v>2015</v>
      </c>
      <c r="C10" s="4" t="s">
        <v>22</v>
      </c>
      <c r="D10" s="10">
        <v>16</v>
      </c>
      <c r="E10" s="10">
        <v>14</v>
      </c>
      <c r="F10" s="10">
        <v>9</v>
      </c>
      <c r="G10" s="10">
        <v>20</v>
      </c>
      <c r="H10" s="10">
        <v>13</v>
      </c>
      <c r="I10" s="10">
        <v>10</v>
      </c>
      <c r="J10" s="10">
        <v>16</v>
      </c>
      <c r="K10" s="10">
        <v>14</v>
      </c>
      <c r="L10" s="10">
        <v>24</v>
      </c>
      <c r="M10" s="10">
        <v>20</v>
      </c>
      <c r="N10" s="10">
        <v>24</v>
      </c>
      <c r="O10" s="10">
        <v>26</v>
      </c>
      <c r="P10" s="10">
        <v>39</v>
      </c>
      <c r="Q10" s="10">
        <v>40</v>
      </c>
      <c r="R10" s="10">
        <v>37</v>
      </c>
      <c r="S10" s="10">
        <v>26</v>
      </c>
      <c r="T10" s="10">
        <v>24</v>
      </c>
      <c r="U10" s="10">
        <v>19</v>
      </c>
      <c r="V10" s="10">
        <v>6</v>
      </c>
      <c r="W10" s="10">
        <v>1</v>
      </c>
      <c r="X10" s="10">
        <v>0</v>
      </c>
      <c r="Y10" s="10">
        <f t="shared" si="68"/>
        <v>398</v>
      </c>
      <c r="Z10" s="10">
        <f t="shared" si="12"/>
        <v>13.8</v>
      </c>
      <c r="AA10" s="10">
        <f t="shared" si="13"/>
        <v>7.6</v>
      </c>
      <c r="AB10" s="10">
        <f t="shared" si="0"/>
        <v>153</v>
      </c>
      <c r="AC10" s="10">
        <f t="shared" si="14"/>
        <v>76</v>
      </c>
      <c r="AD10" s="14">
        <f t="shared" si="15"/>
        <v>0.38442211055276382</v>
      </c>
      <c r="AE10" s="14">
        <f t="shared" si="16"/>
        <v>0.19095477386934673</v>
      </c>
      <c r="AF10" s="10">
        <f t="shared" si="17"/>
        <v>53</v>
      </c>
      <c r="AL10" s="55"/>
      <c r="AM10" s="2">
        <v>5</v>
      </c>
      <c r="AN10" s="2">
        <f>AM10+1</f>
        <v>6</v>
      </c>
      <c r="AO10" s="2">
        <f t="shared" ref="AO10:BF10" si="116">AN10+1</f>
        <v>7</v>
      </c>
      <c r="AP10" s="2">
        <f t="shared" si="116"/>
        <v>8</v>
      </c>
      <c r="AQ10" s="2">
        <f t="shared" si="116"/>
        <v>9</v>
      </c>
      <c r="AR10" s="2">
        <f t="shared" si="116"/>
        <v>10</v>
      </c>
      <c r="AS10" s="2">
        <f t="shared" si="116"/>
        <v>11</v>
      </c>
      <c r="AT10" s="2">
        <f t="shared" si="116"/>
        <v>12</v>
      </c>
      <c r="AU10" s="2">
        <f t="shared" si="116"/>
        <v>13</v>
      </c>
      <c r="AV10" s="2">
        <f t="shared" si="116"/>
        <v>14</v>
      </c>
      <c r="AW10" s="2">
        <f t="shared" si="116"/>
        <v>15</v>
      </c>
      <c r="AX10" s="2">
        <f t="shared" si="116"/>
        <v>16</v>
      </c>
      <c r="AY10" s="2">
        <f t="shared" si="116"/>
        <v>17</v>
      </c>
      <c r="AZ10" s="2">
        <f t="shared" si="116"/>
        <v>18</v>
      </c>
      <c r="BA10" s="2">
        <f t="shared" si="116"/>
        <v>19</v>
      </c>
      <c r="BB10" s="2">
        <f t="shared" si="116"/>
        <v>20</v>
      </c>
      <c r="BC10" s="2">
        <f t="shared" si="116"/>
        <v>21</v>
      </c>
      <c r="BD10" s="2">
        <f t="shared" si="116"/>
        <v>22</v>
      </c>
      <c r="BE10" s="2">
        <f t="shared" si="116"/>
        <v>23</v>
      </c>
      <c r="BF10" s="2">
        <f t="shared" si="116"/>
        <v>24</v>
      </c>
      <c r="BH10" s="7" t="str">
        <f t="shared" si="19"/>
        <v>2035_2</v>
      </c>
      <c r="BI10" s="29">
        <f>BI9</f>
        <v>2035</v>
      </c>
      <c r="BJ10" s="4" t="s">
        <v>22</v>
      </c>
      <c r="BK10" s="10">
        <f>CM10*$AK$14</f>
        <v>10.98236497048571</v>
      </c>
      <c r="BL10" s="10">
        <f>IF(管理者入力シート!$B$14=1,BK7*管理者用人口入力シート!AM$4,IF(管理者入力シート!$B$14=2,BK7*管理者用人口入力シート!AM$8))</f>
        <v>11.587837483876934</v>
      </c>
      <c r="BM10" s="10">
        <f>IF(管理者入力シート!$B$14=1,BL7*管理者用人口入力シート!AN$4,IF(管理者入力シート!$B$14=2,BL7*管理者用人口入力シート!AN$8))</f>
        <v>10.745730399902602</v>
      </c>
      <c r="BN10" s="10">
        <f>IF(管理者入力シート!$B$14=1,BM7*管理者用人口入力シート!AO$4,IF(管理者入力シート!$B$14=2,BM7*管理者用人口入力シート!AO$8))</f>
        <v>15.387485290238699</v>
      </c>
      <c r="BO10" s="10">
        <f>IF(管理者入力シート!$B$14=1,BN7*管理者用人口入力シート!AP$4,IF(管理者入力シート!$B$14=2,BN7*管理者用人口入力シート!AP$8))</f>
        <v>8.0932454008273105</v>
      </c>
      <c r="BP10" s="10">
        <f>IF(管理者入力シート!$B$14=1,BO7*管理者用人口入力シート!AQ$4,IF(管理者入力シート!$B$14=2,BO7*管理者用人口入力シート!AQ$8))</f>
        <v>6.3619421799003542</v>
      </c>
      <c r="BQ10" s="10">
        <f>IF(管理者入力シート!$B$14=1,BP7*管理者用人口入力シート!AR$4,IF(管理者入力シート!$B$14=2,BP7*管理者用人口入力シート!AR$8))</f>
        <v>4.4399739846036503</v>
      </c>
      <c r="BR10" s="10">
        <f>IF(管理者入力シート!$B$14=1,BQ7*管理者用人口入力シート!AS$4,IF(管理者入力シート!$B$14=2,BQ7*管理者用人口入力シート!AS$8))</f>
        <v>10.619944292849036</v>
      </c>
      <c r="BS10" s="10">
        <f>IF(管理者入力シート!$B$14=1,BR7*管理者用人口入力シート!AT$4,IF(管理者入力シート!$B$14=2,BR7*管理者用人口入力シート!AT$8))</f>
        <v>9.526995138218366</v>
      </c>
      <c r="BT10" s="10">
        <f>IF(管理者入力シート!$B$14=1,BS7*管理者用人口入力シート!AU$4,IF(管理者入力シート!$B$14=2,BS7*管理者用人口入力シート!AU$8))</f>
        <v>8.4891234760312191</v>
      </c>
      <c r="BU10" s="10">
        <f>IF(管理者入力シート!$B$14=1,BT7*管理者用人口入力シート!AV$4,IF(管理者入力シート!$B$14=2,BT7*管理者用人口入力シート!AV$8))</f>
        <v>16.077452287277655</v>
      </c>
      <c r="BV10" s="10">
        <f>IF(管理者入力シート!$B$14=1,BU7*管理者用人口入力シート!AW$4,IF(管理者入力シート!$B$14=2,BU7*管理者用人口入力シート!AW$8))</f>
        <v>10.779030568655051</v>
      </c>
      <c r="BW10" s="10">
        <f>IF(管理者入力シート!$B$14=1,BV7*管理者用人口入力シート!AX$4,IF(管理者入力シート!$B$14=2,BV7*管理者用人口入力シート!AX$8))</f>
        <v>23.927031933419098</v>
      </c>
      <c r="BX10" s="10">
        <f>IF(管理者入力シート!$B$14=1,BW7*管理者用人口入力シート!AY$4,IF(管理者入力シート!$B$14=2,BW7*管理者用人口入力シート!AY$8))</f>
        <v>25.116869686669613</v>
      </c>
      <c r="BY10" s="10">
        <f>IF(管理者入力シート!$B$14=1,BX7*管理者用人口入力シート!AZ$4,IF(管理者入力シート!$B$14=2,BX7*管理者用人口入力シート!AZ$8))</f>
        <v>27.65424055650454</v>
      </c>
      <c r="BZ10" s="10">
        <f>IF(管理者入力シート!$B$14=1,BY7*管理者用人口入力シート!BA$4,IF(管理者入力シート!$B$14=2,BY7*管理者用人口入力シート!BA$8))</f>
        <v>28.93070948782124</v>
      </c>
      <c r="CA10" s="10">
        <f>IF(管理者入力シート!$B$14=1,BZ7*管理者用人口入力シート!BB$4,IF(管理者入力シート!$B$14=2,BZ7*管理者用人口入力シート!BB$8))</f>
        <v>26.051133528309926</v>
      </c>
      <c r="CB10" s="10">
        <f>IF(管理者入力シート!$B$14=1,CA7*管理者用人口入力シート!BC$4,IF(管理者入力シート!$B$14=2,CA7*管理者用人口入力シート!BC$8))</f>
        <v>20.691173876813718</v>
      </c>
      <c r="CC10" s="10">
        <f>IF(管理者入力シート!$B$14=1,CB7*管理者用人口入力シート!BD$4,IF(管理者入力シート!$B$14=2,CB7*管理者用人口入力シート!BD$8))</f>
        <v>10.149183078443469</v>
      </c>
      <c r="CD10" s="10">
        <f>IF(管理者入力シート!$B$14=1,CC7*管理者用人口入力シート!BE$4,IF(管理者入力シート!$B$14=2,CC7*管理者用人口入力シート!BE$8))</f>
        <v>2.7421215817740046</v>
      </c>
      <c r="CE10" s="10">
        <f>IF(管理者入力シート!$B$14=1,CD7*管理者用人口入力シート!BF$4,IF(管理者入力シート!$B$14=2,CD7*管理者用人口入力シート!BF$8))</f>
        <v>2.6495741006772682E-3</v>
      </c>
      <c r="CF10" s="10">
        <f t="shared" si="2"/>
        <v>288.35623877672293</v>
      </c>
      <c r="CG10" s="10">
        <f t="shared" si="20"/>
        <v>13.400140730267722</v>
      </c>
      <c r="CH10" s="10">
        <f t="shared" si="21"/>
        <v>7.3757892180087801</v>
      </c>
      <c r="CI10" s="10">
        <f t="shared" si="3"/>
        <v>141.33808137043715</v>
      </c>
      <c r="CJ10" s="10">
        <f t="shared" si="22"/>
        <v>88.566971127263031</v>
      </c>
      <c r="CK10" s="14">
        <f t="shared" si="23"/>
        <v>0.4901509395809418</v>
      </c>
      <c r="CL10" s="14">
        <f t="shared" si="24"/>
        <v>0.30714428618914436</v>
      </c>
      <c r="CM10" s="10">
        <f t="shared" si="25"/>
        <v>29.515105858180348</v>
      </c>
      <c r="CO10" s="7" t="str">
        <f t="shared" si="26"/>
        <v>2035_2</v>
      </c>
      <c r="CP10" s="29">
        <f>CP9</f>
        <v>2035</v>
      </c>
      <c r="CQ10" s="4" t="s">
        <v>22</v>
      </c>
      <c r="CR10" s="10">
        <f>DT10*$AK$14+将来予測シート②!$H17</f>
        <v>14.43006094168787</v>
      </c>
      <c r="CS10" s="10">
        <f>IF(管理者入力シート!$B$14=1,CR7*管理者用人口入力シート!AM$4,IF(管理者入力シート!$B$14=2,CR7*管理者用人口入力シート!AM$8))+将来予測シート②!$H18</f>
        <v>13.930190166702317</v>
      </c>
      <c r="CT10" s="10">
        <f>IF(管理者入力シート!$B$14=1,CS7*管理者用人口入力シート!AN$4,IF(管理者入力シート!$B$14=2,CS7*管理者用人口入力シート!AN$8))+将来予測シート②!$H19</f>
        <v>12.638886194110574</v>
      </c>
      <c r="CU10" s="10">
        <f>IF(管理者入力シート!$B$14=1,CT7*管理者用人口入力シート!AO$4,IF(管理者入力シート!$B$14=2,CT7*管理者用人口入力シート!AO$8))+将来予測シート②!$H20</f>
        <v>16.464249094355029</v>
      </c>
      <c r="CV10" s="10">
        <f>IF(管理者入力シート!$B$14=1,CU7*管理者用人口入力シート!AP$4,IF(管理者入力シート!$B$14=2,CU7*管理者用人口入力シート!AP$8))+将来予測シート②!$H21</f>
        <v>8.8020581115889041</v>
      </c>
      <c r="CW10" s="10">
        <f>IF(管理者入力シート!$B$14=1,CV7*管理者用人口入力シート!AQ$4,IF(管理者入力シート!$B$14=2,CV7*管理者用人口入力シート!AQ$8))+将来予測シート②!$H22</f>
        <v>8.3619421799003533</v>
      </c>
      <c r="CX10" s="10">
        <f>IF(管理者入力シート!$B$14=1,CW7*管理者用人口入力シート!AR$4,IF(管理者入力シート!$B$14=2,CW7*管理者用人口入力シート!AR$8))+将来予測シート②!$H23</f>
        <v>5.9429122832080088</v>
      </c>
      <c r="CY10" s="10">
        <f>IF(管理者入力シート!$B$14=1,CX7*管理者用人口入力シート!AS$4,IF(管理者入力シート!$B$14=2,CX7*管理者用人口入力シート!AS$8))+将来予測シート②!$H24</f>
        <v>12.986376206088883</v>
      </c>
      <c r="CZ10" s="10">
        <f>IF(管理者入力シート!$B$14=1,CY7*管理者用人口入力シート!AT$4,IF(管理者入力シート!$B$14=2,CY7*管理者用人口入力シート!AT$8))+将来予測シート②!$H25</f>
        <v>10.526995138218366</v>
      </c>
      <c r="DA10" s="10">
        <f>IF(管理者入力シート!$B$14=1,CZ7*管理者用人口入力シート!AU$4,IF(管理者入力シート!$B$14=2,CZ7*管理者用人口入力シート!AU$8))+将来予測シート②!$H26</f>
        <v>9.3819288575536213</v>
      </c>
      <c r="DB10" s="10">
        <f>IF(管理者入力シート!$B$14=1,DA7*管理者用人口入力シート!AV$4,IF(管理者入力シート!$B$14=2,DA7*管理者用人口入力シート!AV$8))+将来予測シート②!$H27</f>
        <v>17.017102830731289</v>
      </c>
      <c r="DC10" s="10">
        <f>IF(管理者入力シート!$B$14=1,DB7*管理者用人口入力シート!AW$4,IF(管理者入力シート!$B$14=2,DB7*管理者用人口入力シート!AW$8))+将来予測シート②!$H28</f>
        <v>10.779030568655051</v>
      </c>
      <c r="DD10" s="10">
        <f>IF(管理者入力シート!$B$14=1,DC7*管理者用人口入力シート!AX$4,IF(管理者入力シート!$B$14=2,DC7*管理者用人口入力シート!AX$8))+将来予測シート②!$H29</f>
        <v>23.927031933419098</v>
      </c>
      <c r="DE10" s="10">
        <f>IF(管理者入力シート!$B$14=1,DD7*管理者用人口入力シート!AY$4,IF(管理者入力シート!$B$14=2,DD7*管理者用人口入力シート!AY$8))</f>
        <v>25.116869686669613</v>
      </c>
      <c r="DF10" s="10">
        <f>IF(管理者入力シート!$B$14=1,DE7*管理者用人口入力シート!AZ$4,IF(管理者入力シート!$B$14=2,DE7*管理者用人口入力シート!AZ$8))</f>
        <v>27.65424055650454</v>
      </c>
      <c r="DG10" s="10">
        <f>IF(管理者入力シート!$B$14=1,DF7*管理者用人口入力シート!BA$4,IF(管理者入力シート!$B$14=2,DF7*管理者用人口入力シート!BA$8))</f>
        <v>28.93070948782124</v>
      </c>
      <c r="DH10" s="10">
        <f>IF(管理者入力シート!$B$14=1,DG7*管理者用人口入力シート!BB$4,IF(管理者入力シート!$B$14=2,DG7*管理者用人口入力シート!BB$8))</f>
        <v>26.051133528309926</v>
      </c>
      <c r="DI10" s="10">
        <f>IF(管理者入力シート!$B$14=1,DH7*管理者用人口入力シート!BC$4,IF(管理者入力シート!$B$14=2,DH7*管理者用人口入力シート!BC$8))</f>
        <v>20.691173876813718</v>
      </c>
      <c r="DJ10" s="10">
        <f>IF(管理者入力シート!$B$14=1,DI7*管理者用人口入力シート!BD$4,IF(管理者入力シート!$B$14=2,DI7*管理者用人口入力シート!BD$8))</f>
        <v>10.149183078443469</v>
      </c>
      <c r="DK10" s="10">
        <f>IF(管理者入力シート!$B$14=1,DJ7*管理者用人口入力シート!BE$4,IF(管理者入力シート!$B$14=2,DJ7*管理者用人口入力シート!BE$8))</f>
        <v>2.7421215817740046</v>
      </c>
      <c r="DL10" s="10">
        <f>IF(管理者入力シート!$B$14=1,DK7*管理者用人口入力シート!BF$4,IF(管理者入力シート!$B$14=2,DK7*管理者用人口入力シート!BF$8))</f>
        <v>2.6495741006772682E-3</v>
      </c>
      <c r="DM10" s="10">
        <f t="shared" si="69"/>
        <v>306.52684587665658</v>
      </c>
      <c r="DN10" s="10">
        <f t="shared" si="34"/>
        <v>15.941445816487736</v>
      </c>
      <c r="DO10" s="10">
        <f t="shared" si="35"/>
        <v>8.3484042965152359</v>
      </c>
      <c r="DP10" s="10">
        <f t="shared" si="6"/>
        <v>141.33808137043715</v>
      </c>
      <c r="DQ10" s="10">
        <f t="shared" si="36"/>
        <v>88.566971127263031</v>
      </c>
      <c r="DR10" s="14">
        <f t="shared" si="37"/>
        <v>0.46109527851048393</v>
      </c>
      <c r="DS10" s="14">
        <f t="shared" si="38"/>
        <v>0.28893707784048878</v>
      </c>
      <c r="DT10" s="10">
        <f t="shared" si="70"/>
        <v>36.093288780786153</v>
      </c>
      <c r="DV10" s="62" t="s">
        <v>405</v>
      </c>
      <c r="DW10" s="209">
        <f>((SUM(BL12:BL13)*3/5+SUM(BM12:BM13)+SUM(BN12:BN13)*1/5)-(SUM(E12:E13)*3/5+SUM(F12:F13)+SUM(G12:G13)*1/5))/4</f>
        <v>-5.41233313790846</v>
      </c>
      <c r="DX10" s="29">
        <f>DX9</f>
        <v>2035</v>
      </c>
      <c r="DY10" s="4" t="s">
        <v>22</v>
      </c>
      <c r="DZ10" s="10">
        <f>FB10*$AK$14</f>
        <v>27.936617816727416</v>
      </c>
      <c r="EA10" s="10">
        <f>IF(管理者入力シート!$B$14=1,DZ7*管理者用人口入力シート!AM$4,IF(管理者入力シート!$B$14=2,DZ7*管理者用人口入力シート!AM$8))</f>
        <v>25.694705015197421</v>
      </c>
      <c r="EB10" s="10">
        <f>IF(管理者入力シート!$B$14=1,EA7*管理者用人口入力シート!AN$4,IF(管理者入力シート!$B$14=2,EA7*管理者用人口入力シート!AN$8))</f>
        <v>10.745730399902602</v>
      </c>
      <c r="EC10" s="10">
        <f>IF(管理者入力シート!$B$14=1,EB7*管理者用人口入力シート!AO$4,IF(管理者入力シート!$B$14=2,EB7*管理者用人口入力シート!AO$8))</f>
        <v>15.387485290238699</v>
      </c>
      <c r="ED10" s="10">
        <f>IF(管理者入力シート!$B$14=1,EC7*管理者用人口入力シート!AP$4,IF(管理者入力シート!$B$14=2,EC7*管理者用人口入力シート!AP$8))</f>
        <v>8.0932454008273105</v>
      </c>
      <c r="EE10" s="10">
        <f>IF(管理者入力シート!$B$14=1,ED7*管理者用人口入力シート!AQ$4,IF(管理者入力シート!$B$14=2,ED7*管理者用人口入力シート!AQ$8))+DX1</f>
        <v>13.361942179900353</v>
      </c>
      <c r="EF10" s="10">
        <f>IF(管理者入力シート!$B$14=1,EE7*管理者用人口入力シート!AR$4,IF(管理者入力シート!$B$14=2,EE7*管理者用人口入力シート!AR$8))+DX1</f>
        <v>16.700258029718906</v>
      </c>
      <c r="EG10" s="10">
        <f>IF(管理者入力シート!$B$14=1,EF7*管理者用人口入力シート!AS$4,IF(管理者入力シート!$B$14=2,EF7*管理者用人口入力シート!AS$8))+DX1</f>
        <v>36.924214772008355</v>
      </c>
      <c r="EH10" s="10">
        <f>IF(管理者入力シート!$B$14=1,EG7*管理者用人口入力シート!AT$4,IF(管理者入力シート!$B$14=2,EG7*管理者用人口入力シート!AT$8))</f>
        <v>27.665400826701319</v>
      </c>
      <c r="EI10" s="10">
        <f>IF(管理者入力シート!$B$14=1,EH7*管理者用人口入力シート!AU$4,IF(管理者入力シート!$B$14=2,EH7*管理者用人口入力シート!AU$8))</f>
        <v>14.779212298242266</v>
      </c>
      <c r="EJ10" s="10">
        <f>IF(管理者入力シート!$B$14=1,EI7*管理者用人口入力シート!AV$4,IF(管理者入力シート!$B$14=2,EI7*管理者用人口入力シート!AV$8))</f>
        <v>16.077452287277655</v>
      </c>
      <c r="EK10" s="10">
        <f>IF(管理者入力シート!$B$14=1,EJ7*管理者用人口入力シート!AW$4,IF(管理者入力シート!$B$14=2,EJ7*管理者用人口入力シート!AW$8))</f>
        <v>10.779030568655051</v>
      </c>
      <c r="EL10" s="10">
        <f>IF(管理者入力シート!$B$14=1,EK7*管理者用人口入力シート!AX$4,IF(管理者入力シート!$B$14=2,EK7*管理者用人口入力シート!AX$8))</f>
        <v>23.927031933419098</v>
      </c>
      <c r="EM10" s="10">
        <f>IF(管理者入力シート!$B$14=1,EL7*管理者用人口入力シート!AY$4,IF(管理者入力シート!$B$14=2,EL7*管理者用人口入力シート!AY$8))</f>
        <v>25.116869686669613</v>
      </c>
      <c r="EN10" s="10">
        <f>IF(管理者入力シート!$B$14=1,EM7*管理者用人口入力シート!AZ$4,IF(管理者入力シート!$B$14=2,EM7*管理者用人口入力シート!AZ$8))</f>
        <v>27.65424055650454</v>
      </c>
      <c r="EO10" s="10">
        <f>IF(管理者入力シート!$B$14=1,EN7*管理者用人口入力シート!BA$4,IF(管理者入力シート!$B$14=2,EN7*管理者用人口入力シート!BA$8))</f>
        <v>28.93070948782124</v>
      </c>
      <c r="EP10" s="10">
        <f>IF(管理者入力シート!$B$14=1,EO7*管理者用人口入力シート!BB$4,IF(管理者入力シート!$B$14=2,EO7*管理者用人口入力シート!BB$8))</f>
        <v>26.051133528309926</v>
      </c>
      <c r="EQ10" s="10">
        <f>IF(管理者入力シート!$B$14=1,EP7*管理者用人口入力シート!BC$4,IF(管理者入力シート!$B$14=2,EP7*管理者用人口入力シート!BC$8))</f>
        <v>20.691173876813718</v>
      </c>
      <c r="ER10" s="10">
        <f>IF(管理者入力シート!$B$14=1,EQ7*管理者用人口入力シート!BD$4,IF(管理者入力シート!$B$14=2,EQ7*管理者用人口入力シート!BD$8))</f>
        <v>10.149183078443469</v>
      </c>
      <c r="ES10" s="10">
        <f>IF(管理者入力シート!$B$14=1,ER7*管理者用人口入力シート!BE$4,IF(管理者入力シート!$B$14=2,ER7*管理者用人口入力シート!BE$8))</f>
        <v>2.7421215817740046</v>
      </c>
      <c r="ET10" s="10">
        <f>IF(管理者入力シート!$B$14=1,ES7*管理者用人口入力シート!BF$4,IF(管理者入力シート!$B$14=2,ES7*管理者用人口入力シート!BF$8))</f>
        <v>2.6495741006772682E-3</v>
      </c>
      <c r="EU10" s="10">
        <f t="shared" si="71"/>
        <v>389.4104081892537</v>
      </c>
      <c r="EV10" s="10">
        <f t="shared" si="41"/>
        <v>21.864261249060014</v>
      </c>
      <c r="EW10" s="10">
        <f t="shared" si="42"/>
        <v>7.3757892180087801</v>
      </c>
      <c r="EX10" s="10">
        <f t="shared" si="10"/>
        <v>141.33808137043715</v>
      </c>
      <c r="EY10" s="10">
        <f t="shared" si="43"/>
        <v>88.566971127263031</v>
      </c>
      <c r="EZ10" s="14">
        <f t="shared" si="44"/>
        <v>0.36295404128424519</v>
      </c>
      <c r="FA10" s="14">
        <f t="shared" si="45"/>
        <v>0.22743863354628011</v>
      </c>
      <c r="FB10" s="10">
        <f t="shared" si="72"/>
        <v>75.079660382454932</v>
      </c>
    </row>
    <row r="11" spans="1:158" x14ac:dyDescent="0.15">
      <c r="A11" s="7" t="str">
        <f t="shared" si="11"/>
        <v>2015_3</v>
      </c>
      <c r="B11" s="30">
        <v>2015</v>
      </c>
      <c r="C11" s="5" t="s">
        <v>23</v>
      </c>
      <c r="D11" s="11">
        <v>37</v>
      </c>
      <c r="E11" s="11">
        <v>32</v>
      </c>
      <c r="F11" s="11">
        <v>20</v>
      </c>
      <c r="G11" s="11">
        <v>29</v>
      </c>
      <c r="H11" s="11">
        <v>24</v>
      </c>
      <c r="I11" s="11">
        <v>18</v>
      </c>
      <c r="J11" s="11">
        <v>30</v>
      </c>
      <c r="K11" s="11">
        <v>29</v>
      </c>
      <c r="L11" s="11">
        <v>45</v>
      </c>
      <c r="M11" s="11">
        <v>41</v>
      </c>
      <c r="N11" s="11">
        <v>48</v>
      </c>
      <c r="O11" s="11">
        <v>49</v>
      </c>
      <c r="P11" s="11">
        <v>72</v>
      </c>
      <c r="Q11" s="11">
        <v>80</v>
      </c>
      <c r="R11" s="11">
        <v>60</v>
      </c>
      <c r="S11" s="11">
        <v>52</v>
      </c>
      <c r="T11" s="11">
        <v>48</v>
      </c>
      <c r="U11" s="11">
        <v>32</v>
      </c>
      <c r="V11" s="11">
        <v>7</v>
      </c>
      <c r="W11" s="11">
        <v>2</v>
      </c>
      <c r="X11" s="11">
        <v>0</v>
      </c>
      <c r="Y11" s="11">
        <f t="shared" si="68"/>
        <v>755</v>
      </c>
      <c r="Z11" s="11">
        <f t="shared" si="12"/>
        <v>31.2</v>
      </c>
      <c r="AA11" s="11">
        <f t="shared" si="13"/>
        <v>13.8</v>
      </c>
      <c r="AB11" s="11">
        <f t="shared" si="0"/>
        <v>281</v>
      </c>
      <c r="AC11" s="11">
        <f t="shared" si="14"/>
        <v>141</v>
      </c>
      <c r="AD11" s="15">
        <f t="shared" si="15"/>
        <v>0.37218543046357616</v>
      </c>
      <c r="AE11" s="15">
        <f t="shared" si="16"/>
        <v>0.18675496688741722</v>
      </c>
      <c r="AF11" s="11">
        <f t="shared" si="17"/>
        <v>101</v>
      </c>
      <c r="BH11" s="7" t="str">
        <f t="shared" si="19"/>
        <v>2035_3</v>
      </c>
      <c r="BI11" s="30">
        <f>BI10</f>
        <v>2035</v>
      </c>
      <c r="BJ11" s="5" t="s">
        <v>23</v>
      </c>
      <c r="BK11" s="16">
        <f>BK9+BK10</f>
        <v>15.787149645073209</v>
      </c>
      <c r="BL11" s="16">
        <f t="shared" ref="BL11" si="117">BL9+BL10</f>
        <v>17.741964206654465</v>
      </c>
      <c r="BM11" s="16">
        <f t="shared" ref="BM11" si="118">BM9+BM10</f>
        <v>18.125924012377681</v>
      </c>
      <c r="BN11" s="16">
        <f t="shared" ref="BN11" si="119">BN9+BN10</f>
        <v>22.09844923270159</v>
      </c>
      <c r="BO11" s="16">
        <f t="shared" ref="BO11" si="120">BO9+BO10</f>
        <v>14.79659622235676</v>
      </c>
      <c r="BP11" s="16">
        <f t="shared" ref="BP11" si="121">BP9+BP10</f>
        <v>10.444778530962282</v>
      </c>
      <c r="BQ11" s="16">
        <f t="shared" ref="BQ11" si="122">BQ9+BQ10</f>
        <v>6.1029328231698461</v>
      </c>
      <c r="BR11" s="16">
        <f t="shared" ref="BR11" si="123">BR9+BR10</f>
        <v>12.751951456405139</v>
      </c>
      <c r="BS11" s="16">
        <f t="shared" ref="BS11" si="124">BS9+BS10</f>
        <v>16.606093694082407</v>
      </c>
      <c r="BT11" s="16">
        <f t="shared" ref="BT11" si="125">BT9+BT10</f>
        <v>12.983275520344206</v>
      </c>
      <c r="BU11" s="16">
        <f t="shared" ref="BU11" si="126">BU9+BU10</f>
        <v>36.888207978687625</v>
      </c>
      <c r="BV11" s="16">
        <f t="shared" ref="BV11" si="127">BV9+BV10</f>
        <v>23.256702935419121</v>
      </c>
      <c r="BW11" s="16">
        <f t="shared" ref="BW11" si="128">BW9+BW10</f>
        <v>45.757145221119785</v>
      </c>
      <c r="BX11" s="16">
        <f t="shared" ref="BX11" si="129">BX9+BX10</f>
        <v>45.152273785849076</v>
      </c>
      <c r="BY11" s="16">
        <f t="shared" ref="BY11" si="130">BY9+BY10</f>
        <v>49.713619881776054</v>
      </c>
      <c r="BZ11" s="16">
        <f t="shared" ref="BZ11" si="131">BZ9+BZ10</f>
        <v>52.402371527798707</v>
      </c>
      <c r="CA11" s="16">
        <f t="shared" ref="CA11" si="132">CA9+CA10</f>
        <v>45.767624088244773</v>
      </c>
      <c r="CB11" s="16">
        <f t="shared" ref="CB11" si="133">CB9+CB10</f>
        <v>37.016871139227575</v>
      </c>
      <c r="CC11" s="16">
        <f t="shared" ref="CC11" si="134">CC9+CC10</f>
        <v>14.137515675757403</v>
      </c>
      <c r="CD11" s="16">
        <f t="shared" ref="CD11" si="135">CD9+CD10</f>
        <v>2.8243698080351467</v>
      </c>
      <c r="CE11" s="16">
        <f t="shared" ref="CE11" si="136">CE9+CE10</f>
        <v>2.7607065772555723E-3</v>
      </c>
      <c r="CF11" s="11">
        <f t="shared" si="2"/>
        <v>500.35857809262006</v>
      </c>
      <c r="CG11" s="11">
        <f t="shared" si="20"/>
        <v>21.520732931419289</v>
      </c>
      <c r="CH11" s="11">
        <f t="shared" si="21"/>
        <v>11.67005945149139</v>
      </c>
      <c r="CI11" s="11">
        <f t="shared" si="3"/>
        <v>247.01740661326602</v>
      </c>
      <c r="CJ11" s="11">
        <f t="shared" si="22"/>
        <v>152.15151294564089</v>
      </c>
      <c r="CK11" s="15">
        <f t="shared" si="23"/>
        <v>0.49368076701093605</v>
      </c>
      <c r="CL11" s="15">
        <f t="shared" si="24"/>
        <v>0.30408494948891734</v>
      </c>
      <c r="CM11" s="11">
        <f t="shared" si="25"/>
        <v>44.096259032894025</v>
      </c>
      <c r="CO11" s="7" t="str">
        <f t="shared" si="26"/>
        <v>2035_3</v>
      </c>
      <c r="CP11" s="30">
        <f>CP10</f>
        <v>2035</v>
      </c>
      <c r="CQ11" s="5" t="s">
        <v>23</v>
      </c>
      <c r="CR11" s="16">
        <f>CR9+CR10</f>
        <v>21.305712603676312</v>
      </c>
      <c r="CS11" s="16">
        <f t="shared" ref="CS11" si="137">CS9+CS10</f>
        <v>22.022670349510747</v>
      </c>
      <c r="CT11" s="16">
        <f t="shared" ref="CT11" si="138">CT9+CT10</f>
        <v>22.421186225637662</v>
      </c>
      <c r="CU11" s="16">
        <f t="shared" ref="CU11" si="139">CU9+CU10</f>
        <v>23.858976495575746</v>
      </c>
      <c r="CV11" s="16">
        <f t="shared" ref="CV11" si="140">CV9+CV10</f>
        <v>15.874264489900012</v>
      </c>
      <c r="CW11" s="16">
        <f t="shared" ref="CW11" si="141">CW9+CW10</f>
        <v>14.44477853096228</v>
      </c>
      <c r="CX11" s="16">
        <f t="shared" ref="CX11" si="142">CX9+CX10</f>
        <v>8.9287467773065003</v>
      </c>
      <c r="CY11" s="16">
        <f t="shared" ref="CY11" si="143">CY9+CY10</f>
        <v>16.582233479067789</v>
      </c>
      <c r="CZ11" s="16">
        <f t="shared" ref="CZ11" si="144">CZ9+CZ10</f>
        <v>17.606093694082407</v>
      </c>
      <c r="DA11" s="16">
        <f t="shared" ref="DA11" si="145">DA9+DA10</f>
        <v>13.876080901866608</v>
      </c>
      <c r="DB11" s="16">
        <f t="shared" ref="DB11" si="146">DB9+DB10</f>
        <v>37.827858522141256</v>
      </c>
      <c r="DC11" s="16">
        <f t="shared" ref="DC11" si="147">DC9+DC10</f>
        <v>23.256702935419121</v>
      </c>
      <c r="DD11" s="16">
        <f t="shared" ref="DD11" si="148">DD9+DD10</f>
        <v>45.757145221119785</v>
      </c>
      <c r="DE11" s="16">
        <f t="shared" ref="DE11" si="149">DE9+DE10</f>
        <v>45.152273785849076</v>
      </c>
      <c r="DF11" s="16">
        <f t="shared" ref="DF11" si="150">DF9+DF10</f>
        <v>49.713619881776054</v>
      </c>
      <c r="DG11" s="16">
        <f t="shared" ref="DG11" si="151">DG9+DG10</f>
        <v>52.402371527798707</v>
      </c>
      <c r="DH11" s="16">
        <f t="shared" ref="DH11" si="152">DH9+DH10</f>
        <v>45.767624088244773</v>
      </c>
      <c r="DI11" s="16">
        <f t="shared" ref="DI11" si="153">DI9+DI10</f>
        <v>37.016871139227575</v>
      </c>
      <c r="DJ11" s="16">
        <f t="shared" ref="DJ11" si="154">DJ9+DJ10</f>
        <v>14.137515675757403</v>
      </c>
      <c r="DK11" s="16">
        <f t="shared" ref="DK11" si="155">DK9+DK10</f>
        <v>2.8243698080351467</v>
      </c>
      <c r="DL11" s="16">
        <f t="shared" ref="DL11" si="156">DL9+DL10</f>
        <v>2.7607065772555723E-3</v>
      </c>
      <c r="DM11" s="11">
        <f t="shared" si="69"/>
        <v>530.77985683953216</v>
      </c>
      <c r="DN11" s="11">
        <f t="shared" si="34"/>
        <v>26.666313945089044</v>
      </c>
      <c r="DO11" s="11">
        <f t="shared" si="35"/>
        <v>13.740269789370215</v>
      </c>
      <c r="DP11" s="11">
        <f t="shared" si="6"/>
        <v>247.01740661326602</v>
      </c>
      <c r="DQ11" s="11">
        <f t="shared" si="36"/>
        <v>152.15151294564089</v>
      </c>
      <c r="DR11" s="15">
        <f t="shared" si="37"/>
        <v>0.4653857968237583</v>
      </c>
      <c r="DS11" s="15">
        <f t="shared" si="38"/>
        <v>0.28665653186541334</v>
      </c>
      <c r="DT11" s="11">
        <f t="shared" si="70"/>
        <v>55.830023277236585</v>
      </c>
      <c r="DW11" s="210"/>
      <c r="DX11" s="30">
        <f>DX10</f>
        <v>2035</v>
      </c>
      <c r="DY11" s="5" t="s">
        <v>23</v>
      </c>
      <c r="DZ11" s="16">
        <f>DZ9+DZ10</f>
        <v>40.158888111545664</v>
      </c>
      <c r="EA11" s="16">
        <f t="shared" ref="EA11" si="157">EA9+EA10</f>
        <v>39.340777544944999</v>
      </c>
      <c r="EB11" s="16">
        <f t="shared" ref="EB11" si="158">EB9+EB10</f>
        <v>18.125924012377681</v>
      </c>
      <c r="EC11" s="16">
        <f t="shared" ref="EC11" si="159">EC9+EC10</f>
        <v>22.09844923270159</v>
      </c>
      <c r="ED11" s="16">
        <f t="shared" ref="ED11" si="160">ED9+ED10</f>
        <v>14.79659622235676</v>
      </c>
      <c r="EE11" s="16">
        <f t="shared" ref="EE11" si="161">EE9+EE10</f>
        <v>24.444778530962282</v>
      </c>
      <c r="EF11" s="16">
        <f t="shared" ref="EF11" si="162">EF9+EF10</f>
        <v>29.993281662648137</v>
      </c>
      <c r="EG11" s="16">
        <f t="shared" ref="EG11" si="163">EG9+EG10</f>
        <v>58.925664010959096</v>
      </c>
      <c r="EH11" s="16">
        <f t="shared" ref="EH11" si="164">EH9+EH10</f>
        <v>55.1189803186641</v>
      </c>
      <c r="EI11" s="16">
        <f t="shared" ref="EI11" si="165">EI9+EI10</f>
        <v>28.749842399493723</v>
      </c>
      <c r="EJ11" s="16">
        <f t="shared" ref="EJ11" si="166">EJ9+EJ10</f>
        <v>36.888207978687625</v>
      </c>
      <c r="EK11" s="16">
        <f t="shared" ref="EK11" si="167">EK9+EK10</f>
        <v>23.256702935419121</v>
      </c>
      <c r="EL11" s="16">
        <f t="shared" ref="EL11" si="168">EL9+EL10</f>
        <v>45.757145221119785</v>
      </c>
      <c r="EM11" s="16">
        <f t="shared" ref="EM11" si="169">EM9+EM10</f>
        <v>45.152273785849076</v>
      </c>
      <c r="EN11" s="16">
        <f t="shared" ref="EN11" si="170">EN9+EN10</f>
        <v>49.713619881776054</v>
      </c>
      <c r="EO11" s="16">
        <f t="shared" ref="EO11" si="171">EO9+EO10</f>
        <v>52.402371527798707</v>
      </c>
      <c r="EP11" s="16">
        <f t="shared" ref="EP11" si="172">EP9+EP10</f>
        <v>45.767624088244773</v>
      </c>
      <c r="EQ11" s="16">
        <f t="shared" ref="EQ11" si="173">EQ9+EQ10</f>
        <v>37.016871139227575</v>
      </c>
      <c r="ER11" s="16">
        <f t="shared" ref="ER11" si="174">ER9+ER10</f>
        <v>14.137515675757403</v>
      </c>
      <c r="ES11" s="16">
        <f t="shared" ref="ES11" si="175">ES9+ES10</f>
        <v>2.8243698080351467</v>
      </c>
      <c r="ET11" s="16">
        <f t="shared" ref="ET11" si="176">ET9+ET10</f>
        <v>2.7607065772555723E-3</v>
      </c>
      <c r="EU11" s="11">
        <f t="shared" si="71"/>
        <v>684.67264479514654</v>
      </c>
      <c r="EV11" s="11">
        <f t="shared" si="41"/>
        <v>34.480020934393607</v>
      </c>
      <c r="EW11" s="11">
        <f t="shared" si="42"/>
        <v>11.67005945149139</v>
      </c>
      <c r="EX11" s="11">
        <f t="shared" si="10"/>
        <v>247.01740661326602</v>
      </c>
      <c r="EY11" s="11">
        <f t="shared" si="43"/>
        <v>152.15151294564089</v>
      </c>
      <c r="EZ11" s="15">
        <f t="shared" si="44"/>
        <v>0.36078176701096831</v>
      </c>
      <c r="FA11" s="15">
        <f t="shared" si="45"/>
        <v>0.22222519638003718</v>
      </c>
      <c r="FB11" s="11">
        <f t="shared" si="72"/>
        <v>128.16032042692626</v>
      </c>
    </row>
    <row r="12" spans="1:158" x14ac:dyDescent="0.15">
      <c r="A12" s="7" t="str">
        <f t="shared" si="11"/>
        <v>2020_1</v>
      </c>
      <c r="B12" s="28">
        <v>2020</v>
      </c>
      <c r="C12" s="3" t="s">
        <v>21</v>
      </c>
      <c r="D12" s="3">
        <v>7</v>
      </c>
      <c r="E12" s="3">
        <v>16</v>
      </c>
      <c r="F12" s="3">
        <v>19</v>
      </c>
      <c r="G12" s="3">
        <v>8</v>
      </c>
      <c r="H12" s="3">
        <v>5</v>
      </c>
      <c r="I12" s="3">
        <v>7</v>
      </c>
      <c r="J12" s="3">
        <v>3</v>
      </c>
      <c r="K12" s="3">
        <v>16</v>
      </c>
      <c r="L12" s="3">
        <v>15</v>
      </c>
      <c r="M12" s="3">
        <v>24</v>
      </c>
      <c r="N12" s="3">
        <v>21</v>
      </c>
      <c r="O12" s="3">
        <v>22</v>
      </c>
      <c r="P12" s="3">
        <v>28</v>
      </c>
      <c r="Q12" s="3">
        <v>31</v>
      </c>
      <c r="R12" s="3">
        <v>36</v>
      </c>
      <c r="S12" s="3">
        <v>22</v>
      </c>
      <c r="T12" s="3">
        <v>19</v>
      </c>
      <c r="U12" s="3">
        <v>17</v>
      </c>
      <c r="V12" s="3">
        <v>5</v>
      </c>
      <c r="W12" s="3">
        <v>0</v>
      </c>
      <c r="X12" s="3">
        <v>0</v>
      </c>
      <c r="Y12" s="9">
        <f t="shared" ref="Y12:Y14" si="177">SUM(D12:X12)</f>
        <v>321</v>
      </c>
      <c r="Z12" s="9">
        <f>E12*3/5+F12*3/5</f>
        <v>21</v>
      </c>
      <c r="AA12" s="9">
        <f>F12*2/5+G12*1/5</f>
        <v>9.1999999999999993</v>
      </c>
      <c r="AB12" s="9">
        <f t="shared" ref="AB12:AB14" si="178">SUM(Q12:X12)</f>
        <v>130</v>
      </c>
      <c r="AC12" s="9">
        <f>SUM(S12:X12)</f>
        <v>63</v>
      </c>
      <c r="AD12" s="13">
        <f>AB12/Y12</f>
        <v>0.40498442367601245</v>
      </c>
      <c r="AE12" s="13">
        <f>AC12/Y12</f>
        <v>0.19626168224299065</v>
      </c>
      <c r="AF12" s="9">
        <f>SUM(H12:K12)</f>
        <v>31</v>
      </c>
      <c r="AK12" s="61">
        <f>管理者入力シート!B5</f>
        <v>2020</v>
      </c>
      <c r="AL12" s="62"/>
      <c r="BH12" s="7" t="str">
        <f t="shared" si="19"/>
        <v>2040_1</v>
      </c>
      <c r="BI12" s="28">
        <f>管理者入力シート!B11</f>
        <v>2040</v>
      </c>
      <c r="BJ12" s="3" t="s">
        <v>21</v>
      </c>
      <c r="BK12" s="9">
        <f>CM13*$AK$13</f>
        <v>4.5507152491587988</v>
      </c>
      <c r="BL12" s="9">
        <f>IF(管理者入力シート!$B$14=1,BK9*管理者用人口入力シート!AM$3,IF(管理者入力シート!$B$14=2,BK9*管理者用人口入力シート!AM$7))</f>
        <v>5.9311549690829652</v>
      </c>
      <c r="BM12" s="9">
        <f>IF(管理者入力シート!$B$14=1,BL9*管理者用人口入力シート!AN$3,IF(管理者入力シート!$B$14=2,BL9*管理者用人口入力シート!AN$7))</f>
        <v>6.9900787829507101</v>
      </c>
      <c r="BN12" s="9">
        <f>IF(管理者入力シート!$B$14=1,BM9*管理者用人口入力シート!AO$3,IF(管理者入力シート!$B$14=2,BM9*管理者用人口入力シート!AO$7))</f>
        <v>5.0463067107683859</v>
      </c>
      <c r="BO12" s="9">
        <f>IF(管理者入力シート!$B$14=1,BN9*管理者用人口入力シート!AP$3,IF(管理者入力シート!$B$14=2,BN9*管理者用人口入力シート!AP$7))</f>
        <v>3.620223207065973</v>
      </c>
      <c r="BP12" s="9">
        <f>IF(管理者入力シート!$B$14=1,BO9*管理者用人口入力シート!AQ$3,IF(管理者入力シート!$B$14=2,BO9*管理者用人口入力シート!AQ$7))</f>
        <v>3.9052063812641848</v>
      </c>
      <c r="BQ12" s="9">
        <f>IF(管理者入力シート!$B$14=1,BP9*管理者用人口入力シート!AR$3,IF(管理者入力シート!$B$14=2,BP9*管理者用人口入力シート!AR$7))</f>
        <v>2.7005424071710653</v>
      </c>
      <c r="BR12" s="9">
        <f>IF(管理者入力シート!$B$14=1,BQ9*管理者用人口入力シート!AS$3,IF(管理者入力シート!$B$14=2,BQ9*管理者用人口入力シート!AS$7))</f>
        <v>1.8401748249129444</v>
      </c>
      <c r="BS12" s="9">
        <f>IF(管理者入力シート!$B$14=1,BR9*管理者用人口入力シート!AT$3,IF(管理者入力シート!$B$14=2,BR9*管理者用人口入力シート!AT$7))</f>
        <v>2.9457912265490269</v>
      </c>
      <c r="BT12" s="9">
        <f>IF(管理者入力シート!$B$14=1,BS9*管理者用人口入力シート!AU$3,IF(管理者入力シート!$B$14=2,BS9*管理者用人口入力シート!AU$7))</f>
        <v>6.9360717202960718</v>
      </c>
      <c r="BU12" s="9">
        <f>IF(管理者入力シート!$B$14=1,BT9*管理者用人口入力シート!AV$3,IF(管理者入力シート!$B$14=2,BT9*管理者用人口入力シート!AV$7))</f>
        <v>4.3178416186511805</v>
      </c>
      <c r="BV12" s="9">
        <f>IF(管理者入力シート!$B$14=1,BU9*管理者用人口入力シート!AW$3,IF(管理者入力シート!$B$14=2,BU9*管理者用人口入力シート!AW$7))</f>
        <v>18.389740729617809</v>
      </c>
      <c r="BW12" s="9">
        <f>IF(管理者入力シート!$B$14=1,BV9*管理者用人口入力シート!AX$3,IF(管理者入力シート!$B$14=2,BV9*管理者用人口入力シート!AX$7))</f>
        <v>13.368159645504399</v>
      </c>
      <c r="BX12" s="9">
        <f>IF(管理者入力シート!$B$14=1,BW9*管理者用人口入力シート!AY$3,IF(管理者入力シート!$B$14=2,BW9*管理者用人口入力シート!AY$7))</f>
        <v>21.999306988391886</v>
      </c>
      <c r="BY12" s="9">
        <f>IF(管理者入力シート!$B$14=1,BX9*管理者用人口入力シート!AZ$3,IF(管理者入力シート!$B$14=2,BX9*管理者用人口入力シート!AZ$7))</f>
        <v>18.607055718799856</v>
      </c>
      <c r="BZ12" s="9">
        <f>IF(管理者入力シート!$B$14=1,BY9*管理者用人口入力シート!BA$3,IF(管理者入力シート!$B$14=2,BY9*管理者用人口入力シート!BA$7))</f>
        <v>19.758161829277423</v>
      </c>
      <c r="CA12" s="9">
        <f>IF(管理者入力シート!$B$14=1,BZ9*管理者用人口入力シート!BB$3,IF(管理者入力シート!$B$14=2,BZ9*管理者用人口入力シート!BB$7))</f>
        <v>17.946466941313986</v>
      </c>
      <c r="CB12" s="9">
        <f>IF(管理者入力シート!$B$14=1,CA9*管理者用人口入力シート!BC$3,IF(管理者入力シート!$B$14=2,CA9*管理者用人口入力シート!BC$7))</f>
        <v>13.056010292654674</v>
      </c>
      <c r="CC12" s="9">
        <f>IF(管理者入力シート!$B$14=1,CB9*管理者用人口入力シート!BD$3,IF(管理者入力シート!$B$14=2,CB9*管理者用人口入力シート!BD$7))</f>
        <v>5.8455373193397051</v>
      </c>
      <c r="CD12" s="9">
        <f>IF(管理者入力シート!$B$14=1,CC9*管理者用人口入力シート!BE$3,IF(管理者入力シート!$B$14=2,CC9*管理者用人口入力シート!BE$7))</f>
        <v>7.2816657679400321E-2</v>
      </c>
      <c r="CE12" s="9">
        <f>IF(管理者入力シート!$B$14=1,CD9*管理者用人口入力シート!BF$3,IF(管理者入力シート!$B$14=2,CD9*管理者用人口入力シート!BF$7))</f>
        <v>8.2248226261142298E-5</v>
      </c>
      <c r="CF12" s="9">
        <f t="shared" si="2"/>
        <v>177.82744546867667</v>
      </c>
      <c r="CG12" s="9">
        <f t="shared" si="20"/>
        <v>7.7527402512202048</v>
      </c>
      <c r="CH12" s="9">
        <f t="shared" si="21"/>
        <v>3.8052928553339616</v>
      </c>
      <c r="CI12" s="9">
        <f t="shared" si="3"/>
        <v>97.285437995683182</v>
      </c>
      <c r="CJ12" s="9">
        <f t="shared" si="22"/>
        <v>56.679075288491461</v>
      </c>
      <c r="CK12" s="13">
        <f t="shared" si="23"/>
        <v>0.54707774572862256</v>
      </c>
      <c r="CL12" s="13">
        <f t="shared" si="24"/>
        <v>0.31873075125782635</v>
      </c>
      <c r="CM12" s="9">
        <f t="shared" si="25"/>
        <v>12.066146820414167</v>
      </c>
      <c r="CO12" s="7" t="str">
        <f t="shared" si="26"/>
        <v>2040_1</v>
      </c>
      <c r="CP12" s="28">
        <f>管理者入力シート!B11</f>
        <v>2040</v>
      </c>
      <c r="CQ12" s="3" t="s">
        <v>21</v>
      </c>
      <c r="CR12" s="9">
        <f>DT13*$AK$13+将来予測シート②!$G17</f>
        <v>6.7078876537289327</v>
      </c>
      <c r="CS12" s="9">
        <f>IF(管理者入力シート!$B$14=1,CR9*管理者用人口入力シート!AM$3,IF(管理者入力シート!$B$14=2,CR9*管理者用人口入力シート!AM$7))+将来予測シート②!$G18</f>
        <v>8.4874886769379341</v>
      </c>
      <c r="CT12" s="9">
        <f>IF(管理者入力シート!$B$14=1,CS9*管理者用人口入力シート!AN$3,IF(管理者入力シート!$B$14=2,CS9*管理者用人口入力シート!AN$7))+将来予測シート②!$G19</f>
        <v>10.191730455912351</v>
      </c>
      <c r="CU12" s="9">
        <f>IF(管理者入力シート!$B$14=1,CT9*管理者用人口入力シート!AO$3,IF(管理者入力シート!$B$14=2,CT9*管理者用人口入力シート!AO$7))+将来予測シート②!$G20</f>
        <v>6.68877930416377</v>
      </c>
      <c r="CV12" s="9">
        <f>IF(管理者入力シート!$B$14=1,CU9*管理者用人口入力シート!AP$3,IF(管理者入力シート!$B$14=2,CU9*管理者用人口入力シート!AP$7))+将来予測シート②!$G21</f>
        <v>3.9890787638476319</v>
      </c>
      <c r="CW12" s="9">
        <f>IF(管理者入力シート!$B$14=1,CV9*管理者用人口入力シート!AQ$3,IF(管理者入力シート!$B$14=2,CV9*管理者用人口入力シート!AQ$7))+将来予測シート②!$G22</f>
        <v>6.120092505004286</v>
      </c>
      <c r="CX12" s="9">
        <f>IF(管理者入力シート!$B$14=1,CW9*管理者用人口入力シート!AR$3,IF(管理者入力シート!$B$14=2,CW9*管理者用人口入力シート!AR$7))+将来予測シート②!$G23</f>
        <v>4.0234180627033611</v>
      </c>
      <c r="CY12" s="9">
        <f>IF(管理者入力シート!$B$14=1,CX9*管理者用人口入力シート!AS$3,IF(管理者入力シート!$B$14=2,CX9*管理者用人口入力シート!AS$7))+将来予測シート②!$G24</f>
        <v>3.3040249343357435</v>
      </c>
      <c r="CZ12" s="9">
        <f>IF(管理者入力シート!$B$14=1,CY9*管理者用人口入力シート!AT$3,IF(管理者入力シート!$B$14=2,CY9*管理者用人口入力シート!AT$7))+将来予測シート②!$G25</f>
        <v>4.9683908139387531</v>
      </c>
      <c r="DA12" s="9">
        <f>IF(管理者入力シート!$B$14=1,CZ9*管理者用人口入力シート!AU$3,IF(管理者入力シート!$B$14=2,CZ9*管理者用人口入力シート!AU$7))+将来予測シート②!$G26</f>
        <v>6.9360717202960718</v>
      </c>
      <c r="DB12" s="9">
        <f>IF(管理者入力シート!$B$14=1,DA9*管理者用人口入力シート!AV$3,IF(管理者入力シート!$B$14=2,DA9*管理者用人口入力シート!AV$7))+将来予測シート②!$G27</f>
        <v>4.3178416186511805</v>
      </c>
      <c r="DC12" s="9">
        <f>IF(管理者入力シート!$B$14=1,DB9*管理者用人口入力シート!AW$3,IF(管理者入力シート!$B$14=2,DB9*管理者用人口入力シート!AW$7))+将来予測シート②!$G28</f>
        <v>18.389740729617809</v>
      </c>
      <c r="DD12" s="9">
        <f>IF(管理者入力シート!$B$14=1,DC9*管理者用人口入力シート!AX$3,IF(管理者入力シート!$B$14=2,DC9*管理者用人口入力シート!AX$7))+将来予測シート②!$G29</f>
        <v>13.368159645504399</v>
      </c>
      <c r="DE12" s="9">
        <f>IF(管理者入力シート!$B$14=1,DD9*管理者用人口入力シート!AY$3,IF(管理者入力シート!$B$14=2,DD9*管理者用人口入力シート!AY$7))</f>
        <v>21.999306988391886</v>
      </c>
      <c r="DF12" s="9">
        <f>IF(管理者入力シート!$B$14=1,DE9*管理者用人口入力シート!AZ$3,IF(管理者入力シート!$B$14=2,DE9*管理者用人口入力シート!AZ$7))</f>
        <v>18.607055718799856</v>
      </c>
      <c r="DG12" s="9">
        <f>IF(管理者入力シート!$B$14=1,DF9*管理者用人口入力シート!BA$3,IF(管理者入力シート!$B$14=2,DF9*管理者用人口入力シート!BA$7))</f>
        <v>19.758161829277423</v>
      </c>
      <c r="DH12" s="9">
        <f>IF(管理者入力シート!$B$14=1,DG9*管理者用人口入力シート!BB$3,IF(管理者入力シート!$B$14=2,DG9*管理者用人口入力シート!BB$7))</f>
        <v>17.946466941313986</v>
      </c>
      <c r="DI12" s="9">
        <f>IF(管理者入力シート!$B$14=1,DH9*管理者用人口入力シート!BC$3,IF(管理者入力シート!$B$14=2,DH9*管理者用人口入力シート!BC$7))</f>
        <v>13.056010292654674</v>
      </c>
      <c r="DJ12" s="9">
        <f>IF(管理者入力シート!$B$14=1,DI9*管理者用人口入力シート!BD$3,IF(管理者入力シート!$B$14=2,DI9*管理者用人口入力シート!BD$7))</f>
        <v>5.8455373193397051</v>
      </c>
      <c r="DK12" s="9">
        <f>IF(管理者入力シート!$B$14=1,DJ9*管理者用人口入力シート!BE$3,IF(管理者入力シート!$B$14=2,DJ9*管理者用人口入力シート!BE$7))</f>
        <v>7.2816657679400321E-2</v>
      </c>
      <c r="DL12" s="9">
        <f>IF(管理者入力シート!$B$14=1,DK9*管理者用人口入力シート!BF$3,IF(管理者入力シート!$B$14=2,DK9*管理者用人口入力シート!BF$7))</f>
        <v>8.2248226261142298E-5</v>
      </c>
      <c r="DM12" s="9">
        <f t="shared" si="69"/>
        <v>194.77814288032536</v>
      </c>
      <c r="DN12" s="9">
        <f t="shared" si="34"/>
        <v>11.20753147971017</v>
      </c>
      <c r="DO12" s="9">
        <f t="shared" si="35"/>
        <v>5.4144480431976945</v>
      </c>
      <c r="DP12" s="9">
        <f t="shared" si="6"/>
        <v>97.285437995683182</v>
      </c>
      <c r="DQ12" s="9">
        <f t="shared" si="36"/>
        <v>56.679075288491461</v>
      </c>
      <c r="DR12" s="13">
        <f t="shared" si="37"/>
        <v>0.49946794109982262</v>
      </c>
      <c r="DS12" s="13">
        <f t="shared" si="38"/>
        <v>0.29099299567362619</v>
      </c>
      <c r="DT12" s="9">
        <f t="shared" si="70"/>
        <v>17.436614265891023</v>
      </c>
      <c r="DV12" s="211"/>
      <c r="DX12" s="28">
        <f>管理者入力シート!B11</f>
        <v>2040</v>
      </c>
      <c r="DY12" s="3" t="s">
        <v>21</v>
      </c>
      <c r="DZ12" s="9">
        <f>FB13*$AK$13</f>
        <v>11.968200869389543</v>
      </c>
      <c r="EA12" s="129">
        <f>IF(管理者入力シート!$B$14=1,DZ9*管理者用人口入力シート!AM$3,IF(管理者入力シート!$B$14=2,DZ9*管理者用人口入力シート!AM$7))</f>
        <v>15.087498005060962</v>
      </c>
      <c r="EB12" s="9">
        <f>IF(管理者入力シート!$B$14=1,EA9*管理者用人口入力シート!AN$3,IF(管理者入力シート!$B$14=2,EA9*管理者用人口入力シート!AN$7))</f>
        <v>15.499700665530682</v>
      </c>
      <c r="EC12" s="9">
        <f>IF(管理者入力シート!$B$14=1,EB9*管理者用人口入力シート!AO$3,IF(管理者入力シート!$B$14=2,EB9*管理者用人口入力シート!AO$7))</f>
        <v>5.0463067107683859</v>
      </c>
      <c r="ED12" s="9">
        <f>IF(管理者入力シート!$B$14=1,EC9*管理者用人口入力シート!AP$3,IF(管理者入力シート!$B$14=2,EC9*管理者用人口入力シート!AP$7))</f>
        <v>3.620223207065973</v>
      </c>
      <c r="EE12" s="9">
        <f>IF(管理者入力シート!$B$14=1,ED9*管理者用人口入力シート!AQ$3,IF(管理者入力シート!$B$14=2,ED9*管理者用人口入力シート!AQ$7))+DX1</f>
        <v>10.905206381264184</v>
      </c>
      <c r="EF12" s="9">
        <f>IF(管理者入力シート!$B$14=1,EE9*管理者用人口入力シート!AR$3,IF(管理者入力シート!$B$14=2,EE9*管理者用人口入力シート!AR$7))+DX1</f>
        <v>14.3306072015341</v>
      </c>
      <c r="EG12" s="9">
        <f>IF(管理者入力シート!$B$14=1,EF9*管理者用人口入力シート!AS$3,IF(管理者入力シート!$B$14=2,EF9*管理者用人口入力シート!AS$7))+DX1</f>
        <v>21.709616900307577</v>
      </c>
      <c r="EH12" s="9">
        <f>IF(管理者入力シート!$B$14=1,EG9*管理者用人口入力シート!AT$3,IF(管理者入力シート!$B$14=2,EG9*管理者用人口入力シート!AT$7))</f>
        <v>30.399370718511811</v>
      </c>
      <c r="EI12" s="9">
        <f>IF(管理者入力シート!$B$14=1,EH9*管理者用人口入力シート!AU$3,IF(管理者入力シート!$B$14=2,EH9*管理者用人口入力シート!AU$7))</f>
        <v>26.898904547298173</v>
      </c>
      <c r="EJ12" s="9">
        <f>IF(管理者入力シート!$B$14=1,EI9*管理者用人口入力シート!AV$3,IF(管理者入力シート!$B$14=2,EI9*管理者用人口入力シート!AV$7))</f>
        <v>13.422547233643042</v>
      </c>
      <c r="EK12" s="9">
        <f>IF(管理者入力シート!$B$14=1,EJ9*管理者用人口入力シート!AW$3,IF(管理者入力シート!$B$14=2,EJ9*管理者用人口入力シート!AW$7))</f>
        <v>18.389740729617809</v>
      </c>
      <c r="EL12" s="9">
        <f>IF(管理者入力シート!$B$14=1,EK9*管理者用人口入力シート!AX$3,IF(管理者入力シート!$B$14=2,EK9*管理者用人口入力シート!AX$7))</f>
        <v>13.368159645504399</v>
      </c>
      <c r="EM12" s="9">
        <f>IF(管理者入力シート!$B$14=1,EL9*管理者用人口入力シート!AY$3,IF(管理者入力シート!$B$14=2,EL9*管理者用人口入力シート!AY$7))</f>
        <v>21.999306988391886</v>
      </c>
      <c r="EN12" s="9">
        <f>IF(管理者入力シート!$B$14=1,EM9*管理者用人口入力シート!AZ$3,IF(管理者入力シート!$B$14=2,EM9*管理者用人口入力シート!AZ$7))</f>
        <v>18.607055718799856</v>
      </c>
      <c r="EO12" s="9">
        <f>IF(管理者入力シート!$B$14=1,EN9*管理者用人口入力シート!BA$3,IF(管理者入力シート!$B$14=2,EN9*管理者用人口入力シート!BA$7))</f>
        <v>19.758161829277423</v>
      </c>
      <c r="EP12" s="9">
        <f>IF(管理者入力シート!$B$14=1,EO9*管理者用人口入力シート!BB$3,IF(管理者入力シート!$B$14=2,EO9*管理者用人口入力シート!BB$7))</f>
        <v>17.946466941313986</v>
      </c>
      <c r="EQ12" s="9">
        <f>IF(管理者入力シート!$B$14=1,EP9*管理者用人口入力シート!BC$3,IF(管理者入力シート!$B$14=2,EP9*管理者用人口入力シート!BC$7))</f>
        <v>13.056010292654674</v>
      </c>
      <c r="ER12" s="9">
        <f>IF(管理者入力シート!$B$14=1,EQ9*管理者用人口入力シート!BD$3,IF(管理者入力シート!$B$14=2,EQ9*管理者用人口入力シート!BD$7))</f>
        <v>5.8455373193397051</v>
      </c>
      <c r="ES12" s="9">
        <f>IF(管理者入力シート!$B$14=1,ER9*管理者用人口入力シート!BE$3,IF(管理者入力シート!$B$14=2,ER9*管理者用人口入力シート!BE$7))</f>
        <v>7.2816657679400321E-2</v>
      </c>
      <c r="ET12" s="9">
        <f>IF(管理者入力シート!$B$14=1,ES9*管理者用人口入力シート!BF$3,IF(管理者入力シート!$B$14=2,ES9*管理者用人口入力シート!BF$7))</f>
        <v>8.2248226261142298E-5</v>
      </c>
      <c r="EU12" s="9">
        <f t="shared" si="71"/>
        <v>297.93152081117984</v>
      </c>
      <c r="EV12" s="9">
        <f t="shared" si="41"/>
        <v>18.352319202354984</v>
      </c>
      <c r="EW12" s="9">
        <f t="shared" si="42"/>
        <v>7.2091416083659503</v>
      </c>
      <c r="EX12" s="9">
        <f t="shared" si="10"/>
        <v>97.285437995683182</v>
      </c>
      <c r="EY12" s="9">
        <f t="shared" si="43"/>
        <v>56.679075288491461</v>
      </c>
      <c r="EZ12" s="13">
        <f t="shared" si="44"/>
        <v>0.32653623802813336</v>
      </c>
      <c r="FA12" s="13">
        <f t="shared" si="45"/>
        <v>0.19024195605141417</v>
      </c>
      <c r="FB12" s="9">
        <f t="shared" si="72"/>
        <v>50.565653690171828</v>
      </c>
    </row>
    <row r="13" spans="1:158" x14ac:dyDescent="0.15">
      <c r="A13" s="7" t="str">
        <f t="shared" si="11"/>
        <v>2020_2</v>
      </c>
      <c r="B13" s="29">
        <v>2020</v>
      </c>
      <c r="C13" s="4" t="s">
        <v>22</v>
      </c>
      <c r="D13" s="4">
        <v>16</v>
      </c>
      <c r="E13" s="4">
        <v>13</v>
      </c>
      <c r="F13" s="4">
        <v>12</v>
      </c>
      <c r="G13" s="4">
        <v>12</v>
      </c>
      <c r="H13" s="4">
        <v>12</v>
      </c>
      <c r="I13" s="4">
        <v>8</v>
      </c>
      <c r="J13" s="4">
        <v>6</v>
      </c>
      <c r="K13" s="4">
        <v>17</v>
      </c>
      <c r="L13" s="4">
        <v>13</v>
      </c>
      <c r="M13" s="4">
        <v>22</v>
      </c>
      <c r="N13" s="4">
        <v>24</v>
      </c>
      <c r="O13" s="4">
        <v>23</v>
      </c>
      <c r="P13" s="4">
        <v>32</v>
      </c>
      <c r="Q13" s="4">
        <v>38</v>
      </c>
      <c r="R13" s="4">
        <v>40</v>
      </c>
      <c r="S13" s="4">
        <v>32</v>
      </c>
      <c r="T13" s="4">
        <v>23</v>
      </c>
      <c r="U13" s="4">
        <v>17</v>
      </c>
      <c r="V13" s="4">
        <v>12</v>
      </c>
      <c r="W13" s="4">
        <v>3</v>
      </c>
      <c r="X13" s="4">
        <v>0</v>
      </c>
      <c r="Y13" s="10">
        <f t="shared" si="177"/>
        <v>375</v>
      </c>
      <c r="Z13" s="10">
        <f t="shared" ref="Z13:Z14" si="179">E13*3/5+F13*3/5</f>
        <v>15</v>
      </c>
      <c r="AA13" s="10">
        <f t="shared" ref="AA13:AA14" si="180">F13*2/5+G13*1/5</f>
        <v>7.1999999999999993</v>
      </c>
      <c r="AB13" s="10">
        <f t="shared" si="178"/>
        <v>165</v>
      </c>
      <c r="AC13" s="10">
        <f t="shared" ref="AC13:AC14" si="181">SUM(S13:X13)</f>
        <v>87</v>
      </c>
      <c r="AD13" s="14">
        <f t="shared" ref="AD13:AD14" si="182">AB13/Y13</f>
        <v>0.44</v>
      </c>
      <c r="AE13" s="14">
        <f t="shared" ref="AE13:AE14" si="183">AC13/Y13</f>
        <v>0.23200000000000001</v>
      </c>
      <c r="AF13" s="10">
        <f t="shared" ref="AF13:AF14" si="184">SUM(H13:K13)</f>
        <v>43</v>
      </c>
      <c r="AI13" s="60" t="s">
        <v>47</v>
      </c>
      <c r="AJ13" s="1" t="s">
        <v>21</v>
      </c>
      <c r="AK13" s="8">
        <f>VLOOKUP(AK12&amp;"_1",A:D,4,FALSE)/VLOOKUP(AK12&amp;"_2",A:AF,32,FALSE)</f>
        <v>0.16279069767441862</v>
      </c>
      <c r="AL13" s="63"/>
      <c r="BH13" s="7" t="str">
        <f t="shared" si="19"/>
        <v>2040_2</v>
      </c>
      <c r="BI13" s="29">
        <f>BI12</f>
        <v>2040</v>
      </c>
      <c r="BJ13" s="4" t="s">
        <v>22</v>
      </c>
      <c r="BK13" s="10">
        <f>CM13*$AK$14</f>
        <v>10.401634855220109</v>
      </c>
      <c r="BL13" s="10">
        <f>IF(管理者入力シート!$B$14=1,BK10*管理者用人口入力シート!AM$4,IF(管理者入力シート!$B$14=2,BK10*管理者用人口入力シート!AM$8))</f>
        <v>11.16799555313724</v>
      </c>
      <c r="BM13" s="10">
        <f>IF(管理者入力シート!$B$14=1,BL10*管理者用人口入力シート!AN$4,IF(管理者入力シート!$B$14=2,BL10*管理者用人口入力シート!AN$8))</f>
        <v>10.177714301248121</v>
      </c>
      <c r="BN13" s="10">
        <f>IF(管理者入力シート!$B$14=1,BM10*管理者用人口入力シート!AO$4,IF(管理者入力シート!$B$14=2,BM10*管理者用人口入力シート!AO$8))</f>
        <v>11.570613543407628</v>
      </c>
      <c r="BO13" s="10">
        <f>IF(管理者入力シート!$B$14=1,BN10*管理者用人口入力シート!AP$4,IF(管理者入力シート!$B$14=2,BN10*管理者用人口入力シート!AP$8))</f>
        <v>10.129282873999621</v>
      </c>
      <c r="BP13" s="10">
        <f>IF(管理者入力シート!$B$14=1,BO10*管理者用人口入力シート!AQ$4,IF(管理者入力シート!$B$14=2,BO10*管理者用人口入力シート!AQ$8))</f>
        <v>6.0534043415226275</v>
      </c>
      <c r="BQ13" s="10">
        <f>IF(管理者入力シート!$B$14=1,BP10*管理者用人口入力シート!AR$4,IF(管理者入力シート!$B$14=2,BP10*管理者用人口入力シート!AR$8))</f>
        <v>4.7808032778393716</v>
      </c>
      <c r="BR13" s="10">
        <f>IF(管理者入力シート!$B$14=1,BQ10*管理者用人口入力シート!AS$4,IF(管理者入力シート!$B$14=2,BQ10*管理者用人口入力シート!AS$8))</f>
        <v>6.9909031800424231</v>
      </c>
      <c r="BS13" s="10">
        <f>IF(管理者入力シート!$B$14=1,BR10*管理者用人口入力シート!AT$4,IF(管理者入力シート!$B$14=2,BR10*管理者用人口入力シート!AT$8))</f>
        <v>10.688682513962961</v>
      </c>
      <c r="BT13" s="10">
        <f>IF(管理者入力シート!$B$14=1,BS10*管理者用人口入力シート!AU$4,IF(管理者入力シート!$B$14=2,BS10*管理者用人口入力シート!AU$8))</f>
        <v>8.5057525291391194</v>
      </c>
      <c r="BU13" s="10">
        <f>IF(管理者入力シート!$B$14=1,BT10*管理者用人口入力シート!AV$4,IF(管理者入力シート!$B$14=2,BT10*管理者用人口入力シート!AV$8))</f>
        <v>8.9345445858488937</v>
      </c>
      <c r="BV13" s="10">
        <f>IF(管理者入力シート!$B$14=1,BU10*管理者用人口入力シート!AW$4,IF(管理者入力シート!$B$14=2,BU10*管理者用人口入力シート!AW$8))</f>
        <v>14.186890326736766</v>
      </c>
      <c r="BW13" s="10">
        <f>IF(管理者入力シート!$B$14=1,BV10*管理者用人口入力シート!AX$4,IF(管理者入力シート!$B$14=2,BV10*管理者用人口入力シート!AX$8))</f>
        <v>12.62310806191792</v>
      </c>
      <c r="BX13" s="10">
        <f>IF(管理者入力シート!$B$14=1,BW10*管理者用人口入力シート!AY$4,IF(管理者入力シート!$B$14=2,BW10*管理者用人口入力シート!AY$8))</f>
        <v>24.231847176441537</v>
      </c>
      <c r="BY13" s="10">
        <f>IF(管理者入力シート!$B$14=1,BX10*管理者用人口入力シート!AZ$4,IF(管理者入力シート!$B$14=2,BX10*管理者用人口入力シート!AZ$8))</f>
        <v>25.463325634742848</v>
      </c>
      <c r="BZ13" s="10">
        <f>IF(管理者入力シート!$B$14=1,BY10*管理者用人口入力シート!BA$4,IF(管理者入力シート!$B$14=2,BY10*管理者用人口入力シート!BA$8))</f>
        <v>24.351377793420152</v>
      </c>
      <c r="CA13" s="10">
        <f>IF(管理者入力シート!$B$14=1,BZ10*管理者用人口入力シート!BB$4,IF(管理者入力シート!$B$14=2,BZ10*管理者用人口入力シート!BB$8))</f>
        <v>22.217270300019102</v>
      </c>
      <c r="CB13" s="10">
        <f>IF(管理者入力シート!$B$14=1,CA10*管理者用人口入力シート!BC$4,IF(管理者入力シート!$B$14=2,CA10*管理者用人口入力シート!BC$8))</f>
        <v>19.927753717913234</v>
      </c>
      <c r="CC13" s="10">
        <f>IF(管理者入力シート!$B$14=1,CB10*管理者用人口入力シート!BD$4,IF(管理者入力シート!$B$14=2,CB10*管理者用人口入力シート!BD$8))</f>
        <v>11.171279090668822</v>
      </c>
      <c r="CD13" s="10">
        <f>IF(管理者入力シート!$B$14=1,CC10*管理者用人口入力シート!BE$4,IF(管理者入力シート!$B$14=2,CC10*管理者用人口入力シート!BE$8))</f>
        <v>2.9298167911970658</v>
      </c>
      <c r="CE13" s="10">
        <f>IF(管理者入力シート!$B$14=1,CD10*管理者用人口入力シート!BF$4,IF(管理者入力シート!$B$14=2,CD10*管理者用人口入力シート!BF$8))</f>
        <v>2.7421215817740045E-3</v>
      </c>
      <c r="CF13" s="10">
        <f t="shared" si="2"/>
        <v>256.5067425700073</v>
      </c>
      <c r="CG13" s="10">
        <f t="shared" si="20"/>
        <v>12.807425912631217</v>
      </c>
      <c r="CH13" s="10">
        <f t="shared" si="21"/>
        <v>6.3852084291807749</v>
      </c>
      <c r="CI13" s="10">
        <f t="shared" si="3"/>
        <v>130.29541262598451</v>
      </c>
      <c r="CJ13" s="10">
        <f t="shared" si="22"/>
        <v>80.600239814800148</v>
      </c>
      <c r="CK13" s="14">
        <f t="shared" si="23"/>
        <v>0.50796096555014936</v>
      </c>
      <c r="CL13" s="14">
        <f t="shared" si="24"/>
        <v>0.31422269452742463</v>
      </c>
      <c r="CM13" s="10">
        <f t="shared" si="25"/>
        <v>27.954393673404045</v>
      </c>
      <c r="CO13" s="7" t="str">
        <f t="shared" si="26"/>
        <v>2040_2</v>
      </c>
      <c r="CP13" s="29">
        <f>CP12</f>
        <v>2040</v>
      </c>
      <c r="CQ13" s="4" t="s">
        <v>22</v>
      </c>
      <c r="CR13" s="10">
        <f>DT13*$AK$14+将来予測シート②!$H17</f>
        <v>14.046600351380416</v>
      </c>
      <c r="CS13" s="10">
        <f>IF(管理者入力シート!$B$14=1,CR10*管理者用人口入力シート!AM$4,IF(管理者入力シート!$B$14=2,CR10*管理者用人口入力シート!AM$8))+将来予測シート②!$H18</f>
        <v>14.673966569255457</v>
      </c>
      <c r="CT13" s="10">
        <f>IF(管理者入力シート!$B$14=1,CS10*管理者用人口入力シート!AN$4,IF(管理者入力シート!$B$14=2,CS10*管理者用人口入力シート!AN$8))+将来予測シート②!$H19</f>
        <v>13.235026239884558</v>
      </c>
      <c r="CU13" s="10">
        <f>IF(管理者入力シート!$B$14=1,CT10*管理者用人口入力シート!AO$4,IF(管理者入力シート!$B$14=2,CT10*管理者用人口入力シート!AO$8))+将来予測シート②!$H20</f>
        <v>13.609095178163878</v>
      </c>
      <c r="CV13" s="10">
        <f>IF(管理者入力シート!$B$14=1,CU10*管理者用人口入力シート!AP$4,IF(管理者入力シート!$B$14=2,CU10*管理者用人口入力シート!AP$8))+将来予測シート②!$H21</f>
        <v>10.838095584761213</v>
      </c>
      <c r="CW13" s="10">
        <f>IF(管理者入力シート!$B$14=1,CV10*管理者用人口入力シート!AQ$4,IF(管理者入力シート!$B$14=2,CV10*管理者用人口入力シート!AQ$8))+将来予測シート②!$H22</f>
        <v>8.583566189847657</v>
      </c>
      <c r="CX13" s="10">
        <f>IF(管理者入力シート!$B$14=1,CW10*管理者用人口入力シート!AR$4,IF(管理者入力シート!$B$14=2,CW10*管理者用人口入力シート!AR$8))+将来予測シート②!$H23</f>
        <v>6.2837415764437292</v>
      </c>
      <c r="CY13" s="10">
        <f>IF(管理者入力シート!$B$14=1,CX10*管理者用人口入力シート!AS$4,IF(管理者入力シート!$B$14=2,CX10*管理者用人口入力シート!AS$8))+将来予測シート②!$H24</f>
        <v>9.3573350932822699</v>
      </c>
      <c r="CZ13" s="10">
        <f>IF(管理者入力シート!$B$14=1,CY10*管理者用人口入力シート!AT$4,IF(管理者入力シート!$B$14=2,CY10*管理者用人口入力シート!AT$8))+将来予測シート②!$H25</f>
        <v>14.070431298517553</v>
      </c>
      <c r="DA13" s="10">
        <f>IF(管理者入力シート!$B$14=1,CZ10*管理者用人口入力シート!AU$4,IF(管理者入力シート!$B$14=2,CZ10*管理者用人口入力シート!AU$8))+将来予測シート②!$H26</f>
        <v>9.3985579106615216</v>
      </c>
      <c r="DB13" s="10">
        <f>IF(管理者入力シート!$B$14=1,DA10*管理者用人口入力シート!AV$4,IF(管理者入力シート!$B$14=2,DA10*管理者用人口入力シート!AV$8))+将来予測シート②!$H27</f>
        <v>9.8741951293025281</v>
      </c>
      <c r="DC13" s="10">
        <f>IF(管理者入力シート!$B$14=1,DB10*管理者用人口入力シート!AW$4,IF(管理者入力シート!$B$14=2,DB10*管理者用人口入力シート!AW$8))+将来予測シート②!$H28</f>
        <v>15.016046524325615</v>
      </c>
      <c r="DD13" s="10">
        <f>IF(管理者入力シート!$B$14=1,DC10*管理者用人口入力シート!AX$4,IF(管理者入力シート!$B$14=2,DC10*管理者用人口入力シート!AX$8))+将来予測シート②!$H29</f>
        <v>12.62310806191792</v>
      </c>
      <c r="DE13" s="10">
        <f>IF(管理者入力シート!$B$14=1,DD10*管理者用人口入力シート!AY$4,IF(管理者入力シート!$B$14=2,DD10*管理者用人口入力シート!AY$8))</f>
        <v>24.231847176441537</v>
      </c>
      <c r="DF13" s="10">
        <f>IF(管理者入力シート!$B$14=1,DE10*管理者用人口入力シート!AZ$4,IF(管理者入力シート!$B$14=2,DE10*管理者用人口入力シート!AZ$8))</f>
        <v>25.463325634742848</v>
      </c>
      <c r="DG13" s="10">
        <f>IF(管理者入力シート!$B$14=1,DF10*管理者用人口入力シート!BA$4,IF(管理者入力シート!$B$14=2,DF10*管理者用人口入力シート!BA$8))</f>
        <v>24.351377793420152</v>
      </c>
      <c r="DH13" s="10">
        <f>IF(管理者入力シート!$B$14=1,DG10*管理者用人口入力シート!BB$4,IF(管理者入力シート!$B$14=2,DG10*管理者用人口入力シート!BB$8))</f>
        <v>22.217270300019102</v>
      </c>
      <c r="DI13" s="10">
        <f>IF(管理者入力シート!$B$14=1,DH10*管理者用人口入力シート!BC$4,IF(管理者入力シート!$B$14=2,DH10*管理者用人口入力シート!BC$8))</f>
        <v>19.927753717913234</v>
      </c>
      <c r="DJ13" s="10">
        <f>IF(管理者入力シート!$B$14=1,DI10*管理者用人口入力シート!BD$4,IF(管理者入力シート!$B$14=2,DI10*管理者用人口入力シート!BD$8))</f>
        <v>11.171279090668822</v>
      </c>
      <c r="DK13" s="10">
        <f>IF(管理者入力シート!$B$14=1,DJ10*管理者用人口入力シート!BE$4,IF(管理者入力シート!$B$14=2,DJ10*管理者用人口入力シート!BE$8))</f>
        <v>2.9298167911970658</v>
      </c>
      <c r="DL13" s="10">
        <f>IF(管理者入力シート!$B$14=1,DK10*管理者用人口入力シート!BF$4,IF(管理者入力シート!$B$14=2,DK10*管理者用人口入力シート!BF$8))</f>
        <v>2.7421215817740045E-3</v>
      </c>
      <c r="DM13" s="10">
        <f t="shared" si="69"/>
        <v>281.90517833372883</v>
      </c>
      <c r="DN13" s="10">
        <f t="shared" si="34"/>
        <v>16.745395685484009</v>
      </c>
      <c r="DO13" s="10">
        <f t="shared" si="35"/>
        <v>8.0158295315865988</v>
      </c>
      <c r="DP13" s="10">
        <f t="shared" si="6"/>
        <v>130.29541262598451</v>
      </c>
      <c r="DQ13" s="10">
        <f t="shared" si="36"/>
        <v>80.600239814800148</v>
      </c>
      <c r="DR13" s="14">
        <f t="shared" si="37"/>
        <v>0.462195882303859</v>
      </c>
      <c r="DS13" s="14">
        <f t="shared" si="38"/>
        <v>0.28591259050723389</v>
      </c>
      <c r="DT13" s="10">
        <f t="shared" si="70"/>
        <v>35.062738444334869</v>
      </c>
      <c r="DV13" s="62"/>
      <c r="DX13" s="29">
        <f>DX12</f>
        <v>2040</v>
      </c>
      <c r="DY13" s="4" t="s">
        <v>22</v>
      </c>
      <c r="DZ13" s="10">
        <f>FB13*$AK$14</f>
        <v>27.355887701461807</v>
      </c>
      <c r="EA13" s="10">
        <f>IF(管理者入力シート!$B$14=1,DZ10*管理者用人口入力シート!AM$4,IF(管理者入力シート!$B$14=2,DZ10*管理者用人口入力シート!AM$8))</f>
        <v>28.408819446938114</v>
      </c>
      <c r="EB13" s="10">
        <f>IF(管理者入力シート!$B$14=1,EA10*管理者用人口入力シート!AN$4,IF(管理者入力シート!$B$14=2,EA10*管理者用人口入力シート!AN$8))</f>
        <v>22.567918048849982</v>
      </c>
      <c r="EC13" s="10">
        <f>IF(管理者入力シート!$B$14=1,EB10*管理者用人口入力シート!AO$4,IF(管理者入力シート!$B$14=2,EB10*管理者用人口入力シート!AO$8))</f>
        <v>11.570613543407628</v>
      </c>
      <c r="ED13" s="10">
        <f>IF(管理者入力シート!$B$14=1,EC10*管理者用人口入力シート!AP$4,IF(管理者入力シート!$B$14=2,EC10*管理者用人口入力シート!AP$8))</f>
        <v>10.129282873999621</v>
      </c>
      <c r="EE13" s="10">
        <f>IF(管理者入力シート!$B$14=1,ED10*管理者用人口入力シート!AQ$4,IF(管理者入力シート!$B$14=2,ED10*管理者用人口入力シート!AQ$8))+DX1</f>
        <v>13.053404341522628</v>
      </c>
      <c r="EF13" s="10">
        <f>IF(管理者入力シート!$B$14=1,EE10*管理者用人口入力シート!AR$4,IF(管理者入力シート!$B$14=2,EE10*管理者用人口入力シート!AR$8))+DX1</f>
        <v>17.041087322954624</v>
      </c>
      <c r="EG13" s="10">
        <f>IF(管理者入力シート!$B$14=1,EF10*管理者用人口入力シート!AS$4,IF(管理者入力シート!$B$14=2,EF10*管理者用人口入力シート!AS$8))+DX1</f>
        <v>33.295173659201744</v>
      </c>
      <c r="EH13" s="10">
        <f>IF(管理者入力シート!$B$14=1,EG10*管理者用人口入力シート!AT$4,IF(管理者入力シート!$B$14=2,EG10*管理者用人口入力シート!AT$8))</f>
        <v>37.163208948386981</v>
      </c>
      <c r="EI13" s="10">
        <f>IF(管理者入力シート!$B$14=1,EH10*管理者用人口入力シート!AU$4,IF(管理者入力シート!$B$14=2,EH10*管理者用人口入力シート!AU$8))</f>
        <v>24.699818740053257</v>
      </c>
      <c r="EJ13" s="10">
        <f>IF(管理者入力シート!$B$14=1,EI10*管理者用人口入力シート!AV$4,IF(管理者入力シート!$B$14=2,EI10*管理者用人口入力シート!AV$8))</f>
        <v>15.554671998257341</v>
      </c>
      <c r="EK13" s="10">
        <f>IF(管理者入力シート!$B$14=1,EJ10*管理者用人口入力シート!AW$4,IF(管理者入力シート!$B$14=2,EJ10*管理者用人口入力シート!AW$8))</f>
        <v>14.186890326736766</v>
      </c>
      <c r="EL13" s="10">
        <f>IF(管理者入力シート!$B$14=1,EK10*管理者用人口入力シート!AX$4,IF(管理者入力シート!$B$14=2,EK10*管理者用人口入力シート!AX$8))</f>
        <v>12.62310806191792</v>
      </c>
      <c r="EM13" s="10">
        <f>IF(管理者入力シート!$B$14=1,EL10*管理者用人口入力シート!AY$4,IF(管理者入力シート!$B$14=2,EL10*管理者用人口入力シート!AY$8))</f>
        <v>24.231847176441537</v>
      </c>
      <c r="EN13" s="10">
        <f>IF(管理者入力シート!$B$14=1,EM10*管理者用人口入力シート!AZ$4,IF(管理者入力シート!$B$14=2,EM10*管理者用人口入力シート!AZ$8))</f>
        <v>25.463325634742848</v>
      </c>
      <c r="EO13" s="10">
        <f>IF(管理者入力シート!$B$14=1,EN10*管理者用人口入力シート!BA$4,IF(管理者入力シート!$B$14=2,EN10*管理者用人口入力シート!BA$8))</f>
        <v>24.351377793420152</v>
      </c>
      <c r="EP13" s="10">
        <f>IF(管理者入力シート!$B$14=1,EO10*管理者用人口入力シート!BB$4,IF(管理者入力シート!$B$14=2,EO10*管理者用人口入力シート!BB$8))</f>
        <v>22.217270300019102</v>
      </c>
      <c r="EQ13" s="10">
        <f>IF(管理者入力シート!$B$14=1,EP10*管理者用人口入力シート!BC$4,IF(管理者入力シート!$B$14=2,EP10*管理者用人口入力シート!BC$8))</f>
        <v>19.927753717913234</v>
      </c>
      <c r="ER13" s="10">
        <f>IF(管理者入力シート!$B$14=1,EQ10*管理者用人口入力シート!BD$4,IF(管理者入力シート!$B$14=2,EQ10*管理者用人口入力シート!BD$8))</f>
        <v>11.171279090668822</v>
      </c>
      <c r="ES13" s="10">
        <f>IF(管理者入力シート!$B$14=1,ER10*管理者用人口入力シート!BE$4,IF(管理者入力シート!$B$14=2,ER10*管理者用人口入力シート!BE$8))</f>
        <v>2.9298167911970658</v>
      </c>
      <c r="ET13" s="10">
        <f>IF(管理者入力シート!$B$14=1,ES10*管理者用人口入力シート!BF$4,IF(管理者入力シート!$B$14=2,ES10*管理者用人口入力シート!BF$8))</f>
        <v>2.7421215817740045E-3</v>
      </c>
      <c r="EU13" s="10">
        <f t="shared" si="71"/>
        <v>397.9452976396729</v>
      </c>
      <c r="EV13" s="10">
        <f t="shared" si="41"/>
        <v>30.58604249747286</v>
      </c>
      <c r="EW13" s="10">
        <f t="shared" si="42"/>
        <v>11.341289928221519</v>
      </c>
      <c r="EX13" s="10">
        <f t="shared" si="10"/>
        <v>130.29541262598451</v>
      </c>
      <c r="EY13" s="10">
        <f t="shared" si="43"/>
        <v>80.600239814800148</v>
      </c>
      <c r="EZ13" s="14">
        <f t="shared" si="44"/>
        <v>0.32742041028956437</v>
      </c>
      <c r="FA13" s="14">
        <f t="shared" si="45"/>
        <v>0.2025410032305022</v>
      </c>
      <c r="FB13" s="10">
        <f t="shared" si="72"/>
        <v>73.518948197678611</v>
      </c>
    </row>
    <row r="14" spans="1:158" x14ac:dyDescent="0.15">
      <c r="A14" s="7" t="str">
        <f t="shared" si="11"/>
        <v>2020_3</v>
      </c>
      <c r="B14" s="30">
        <v>2020</v>
      </c>
      <c r="C14" s="5" t="s">
        <v>23</v>
      </c>
      <c r="D14" s="5">
        <v>23</v>
      </c>
      <c r="E14" s="5">
        <v>29</v>
      </c>
      <c r="F14" s="5">
        <v>31</v>
      </c>
      <c r="G14" s="5">
        <v>20</v>
      </c>
      <c r="H14" s="5">
        <v>17</v>
      </c>
      <c r="I14" s="5">
        <v>15</v>
      </c>
      <c r="J14" s="5">
        <v>9</v>
      </c>
      <c r="K14" s="5">
        <v>33</v>
      </c>
      <c r="L14" s="5">
        <v>28</v>
      </c>
      <c r="M14" s="5">
        <v>46</v>
      </c>
      <c r="N14" s="5">
        <v>45</v>
      </c>
      <c r="O14" s="5">
        <v>45</v>
      </c>
      <c r="P14" s="5">
        <v>60</v>
      </c>
      <c r="Q14" s="5">
        <v>69</v>
      </c>
      <c r="R14" s="5">
        <v>76</v>
      </c>
      <c r="S14" s="5">
        <v>54</v>
      </c>
      <c r="T14" s="5">
        <v>42</v>
      </c>
      <c r="U14" s="5">
        <v>34</v>
      </c>
      <c r="V14" s="5">
        <v>17</v>
      </c>
      <c r="W14" s="5">
        <v>3</v>
      </c>
      <c r="X14" s="5">
        <v>0</v>
      </c>
      <c r="Y14" s="11">
        <f t="shared" si="177"/>
        <v>696</v>
      </c>
      <c r="Z14" s="11">
        <f t="shared" si="179"/>
        <v>36</v>
      </c>
      <c r="AA14" s="11">
        <f t="shared" si="180"/>
        <v>16.399999999999999</v>
      </c>
      <c r="AB14" s="11">
        <f t="shared" si="178"/>
        <v>295</v>
      </c>
      <c r="AC14" s="11">
        <f t="shared" si="181"/>
        <v>150</v>
      </c>
      <c r="AD14" s="15">
        <f t="shared" si="182"/>
        <v>0.4238505747126437</v>
      </c>
      <c r="AE14" s="15">
        <f t="shared" si="183"/>
        <v>0.21551724137931033</v>
      </c>
      <c r="AF14" s="11">
        <f t="shared" si="184"/>
        <v>74</v>
      </c>
      <c r="AI14" s="43"/>
      <c r="AJ14" s="1" t="s">
        <v>22</v>
      </c>
      <c r="AK14" s="8">
        <f>VLOOKUP(AK12&amp;"_2",A:D,4,FALSE)/VLOOKUP(AK12&amp;"_2",A:AF,32,FALSE)</f>
        <v>0.37209302325581395</v>
      </c>
      <c r="AL14" s="63"/>
      <c r="BH14" s="7" t="str">
        <f t="shared" si="19"/>
        <v>2040_3</v>
      </c>
      <c r="BI14" s="30">
        <f>BI13</f>
        <v>2040</v>
      </c>
      <c r="BJ14" s="5" t="s">
        <v>23</v>
      </c>
      <c r="BK14" s="16">
        <f>BK12+BK13</f>
        <v>14.952350104378908</v>
      </c>
      <c r="BL14" s="16">
        <f t="shared" ref="BL14" si="185">BL12+BL13</f>
        <v>17.099150522220206</v>
      </c>
      <c r="BM14" s="16">
        <f t="shared" ref="BM14" si="186">BM12+BM13</f>
        <v>17.167793084198831</v>
      </c>
      <c r="BN14" s="16">
        <f t="shared" ref="BN14" si="187">BN12+BN13</f>
        <v>16.616920254176016</v>
      </c>
      <c r="BO14" s="16">
        <f t="shared" ref="BO14" si="188">BO12+BO13</f>
        <v>13.749506081065594</v>
      </c>
      <c r="BP14" s="16">
        <f t="shared" ref="BP14" si="189">BP12+BP13</f>
        <v>9.9586107227868119</v>
      </c>
      <c r="BQ14" s="16">
        <f t="shared" ref="BQ14" si="190">BQ12+BQ13</f>
        <v>7.481345685010437</v>
      </c>
      <c r="BR14" s="16">
        <f t="shared" ref="BR14" si="191">BR12+BR13</f>
        <v>8.8310780049553674</v>
      </c>
      <c r="BS14" s="16">
        <f t="shared" ref="BS14" si="192">BS12+BS13</f>
        <v>13.634473740511988</v>
      </c>
      <c r="BT14" s="16">
        <f t="shared" ref="BT14" si="193">BT12+BT13</f>
        <v>15.441824249435191</v>
      </c>
      <c r="BU14" s="16">
        <f t="shared" ref="BU14" si="194">BU12+BU13</f>
        <v>13.252386204500073</v>
      </c>
      <c r="BV14" s="16">
        <f t="shared" ref="BV14" si="195">BV12+BV13</f>
        <v>32.576631056354572</v>
      </c>
      <c r="BW14" s="16">
        <f t="shared" ref="BW14" si="196">BW12+BW13</f>
        <v>25.991267707422317</v>
      </c>
      <c r="BX14" s="16">
        <f t="shared" ref="BX14" si="197">BX12+BX13</f>
        <v>46.231154164833427</v>
      </c>
      <c r="BY14" s="16">
        <f t="shared" ref="BY14" si="198">BY12+BY13</f>
        <v>44.0703813535427</v>
      </c>
      <c r="BZ14" s="16">
        <f t="shared" ref="BZ14" si="199">BZ12+BZ13</f>
        <v>44.109539622697575</v>
      </c>
      <c r="CA14" s="16">
        <f t="shared" ref="CA14" si="200">CA12+CA13</f>
        <v>40.163737241333088</v>
      </c>
      <c r="CB14" s="16">
        <f t="shared" ref="CB14" si="201">CB12+CB13</f>
        <v>32.98376401056791</v>
      </c>
      <c r="CC14" s="16">
        <f t="shared" ref="CC14" si="202">CC12+CC13</f>
        <v>17.016816410008527</v>
      </c>
      <c r="CD14" s="16">
        <f t="shared" ref="CD14" si="203">CD12+CD13</f>
        <v>3.0026334488764661</v>
      </c>
      <c r="CE14" s="16">
        <f t="shared" ref="CE14" si="204">CE12+CE13</f>
        <v>2.8243698080351468E-3</v>
      </c>
      <c r="CF14" s="11">
        <f t="shared" si="2"/>
        <v>434.33418803868398</v>
      </c>
      <c r="CG14" s="11">
        <f t="shared" si="20"/>
        <v>20.56016616385142</v>
      </c>
      <c r="CH14" s="11">
        <f t="shared" si="21"/>
        <v>10.190501284514735</v>
      </c>
      <c r="CI14" s="11">
        <f t="shared" si="3"/>
        <v>227.58085062166771</v>
      </c>
      <c r="CJ14" s="11">
        <f t="shared" si="22"/>
        <v>137.27931510329159</v>
      </c>
      <c r="CK14" s="15">
        <f t="shared" si="23"/>
        <v>0.52397636863298958</v>
      </c>
      <c r="CL14" s="15">
        <f t="shared" si="24"/>
        <v>0.31606840742425002</v>
      </c>
      <c r="CM14" s="11">
        <f t="shared" si="25"/>
        <v>40.02054049381821</v>
      </c>
      <c r="CO14" s="7" t="str">
        <f t="shared" si="26"/>
        <v>2040_3</v>
      </c>
      <c r="CP14" s="30">
        <f>CP13</f>
        <v>2040</v>
      </c>
      <c r="CQ14" s="5" t="s">
        <v>23</v>
      </c>
      <c r="CR14" s="16">
        <f>CR12+CR13</f>
        <v>20.754488005109348</v>
      </c>
      <c r="CS14" s="16">
        <f t="shared" ref="CS14" si="205">CS12+CS13</f>
        <v>23.161455246193391</v>
      </c>
      <c r="CT14" s="16">
        <f t="shared" ref="CT14" si="206">CT12+CT13</f>
        <v>23.426756695796911</v>
      </c>
      <c r="CU14" s="16">
        <f t="shared" ref="CU14" si="207">CU12+CU13</f>
        <v>20.29787448232765</v>
      </c>
      <c r="CV14" s="16">
        <f t="shared" ref="CV14" si="208">CV12+CV13</f>
        <v>14.827174348608844</v>
      </c>
      <c r="CW14" s="16">
        <f t="shared" ref="CW14" si="209">CW12+CW13</f>
        <v>14.703658694851942</v>
      </c>
      <c r="CX14" s="16">
        <f t="shared" ref="CX14" si="210">CX12+CX13</f>
        <v>10.307159639147091</v>
      </c>
      <c r="CY14" s="16">
        <f t="shared" ref="CY14" si="211">CY12+CY13</f>
        <v>12.661360027618013</v>
      </c>
      <c r="CZ14" s="16">
        <f t="shared" ref="CZ14" si="212">CZ12+CZ13</f>
        <v>19.038822112456305</v>
      </c>
      <c r="DA14" s="16">
        <f t="shared" ref="DA14" si="213">DA12+DA13</f>
        <v>16.334629630957593</v>
      </c>
      <c r="DB14" s="16">
        <f t="shared" ref="DB14" si="214">DB12+DB13</f>
        <v>14.192036747953708</v>
      </c>
      <c r="DC14" s="16">
        <f t="shared" ref="DC14" si="215">DC12+DC13</f>
        <v>33.405787253943423</v>
      </c>
      <c r="DD14" s="16">
        <f t="shared" ref="DD14" si="216">DD12+DD13</f>
        <v>25.991267707422317</v>
      </c>
      <c r="DE14" s="16">
        <f t="shared" ref="DE14" si="217">DE12+DE13</f>
        <v>46.231154164833427</v>
      </c>
      <c r="DF14" s="16">
        <f t="shared" ref="DF14" si="218">DF12+DF13</f>
        <v>44.0703813535427</v>
      </c>
      <c r="DG14" s="16">
        <f t="shared" ref="DG14" si="219">DG12+DG13</f>
        <v>44.109539622697575</v>
      </c>
      <c r="DH14" s="16">
        <f t="shared" ref="DH14" si="220">DH12+DH13</f>
        <v>40.163737241333088</v>
      </c>
      <c r="DI14" s="16">
        <f t="shared" ref="DI14" si="221">DI12+DI13</f>
        <v>32.98376401056791</v>
      </c>
      <c r="DJ14" s="16">
        <f t="shared" ref="DJ14" si="222">DJ12+DJ13</f>
        <v>17.016816410008527</v>
      </c>
      <c r="DK14" s="16">
        <f t="shared" ref="DK14" si="223">DK12+DK13</f>
        <v>3.0026334488764661</v>
      </c>
      <c r="DL14" s="16">
        <f t="shared" ref="DL14" si="224">DL12+DL13</f>
        <v>2.8243698080351468E-3</v>
      </c>
      <c r="DM14" s="11">
        <f t="shared" si="69"/>
        <v>476.68332121405416</v>
      </c>
      <c r="DN14" s="11">
        <f t="shared" si="34"/>
        <v>27.952927165194183</v>
      </c>
      <c r="DO14" s="11">
        <f t="shared" si="35"/>
        <v>13.430277574784295</v>
      </c>
      <c r="DP14" s="11">
        <f t="shared" si="6"/>
        <v>227.58085062166771</v>
      </c>
      <c r="DQ14" s="11">
        <f t="shared" si="36"/>
        <v>137.27931510329159</v>
      </c>
      <c r="DR14" s="15">
        <f t="shared" si="37"/>
        <v>0.47742566289512101</v>
      </c>
      <c r="DS14" s="15">
        <f t="shared" si="38"/>
        <v>0.2879885009478787</v>
      </c>
      <c r="DT14" s="11">
        <f t="shared" si="70"/>
        <v>52.499352710225892</v>
      </c>
      <c r="DX14" s="30">
        <f>DX13</f>
        <v>2040</v>
      </c>
      <c r="DY14" s="5" t="s">
        <v>23</v>
      </c>
      <c r="DZ14" s="16">
        <f>DZ12+DZ13</f>
        <v>39.324088570851352</v>
      </c>
      <c r="EA14" s="16">
        <f t="shared" ref="EA14" si="225">EA12+EA13</f>
        <v>43.496317451999076</v>
      </c>
      <c r="EB14" s="16">
        <f t="shared" ref="EB14" si="226">EB12+EB13</f>
        <v>38.067618714380664</v>
      </c>
      <c r="EC14" s="16">
        <f t="shared" ref="EC14" si="227">EC12+EC13</f>
        <v>16.616920254176016</v>
      </c>
      <c r="ED14" s="16">
        <f t="shared" ref="ED14" si="228">ED12+ED13</f>
        <v>13.749506081065594</v>
      </c>
      <c r="EE14" s="16">
        <f t="shared" ref="EE14" si="229">EE12+EE13</f>
        <v>23.958610722786812</v>
      </c>
      <c r="EF14" s="16">
        <f t="shared" ref="EF14" si="230">EF12+EF13</f>
        <v>31.371694524488724</v>
      </c>
      <c r="EG14" s="16">
        <f t="shared" ref="EG14" si="231">EG12+EG13</f>
        <v>55.004790559509317</v>
      </c>
      <c r="EH14" s="16">
        <f t="shared" ref="EH14" si="232">EH12+EH13</f>
        <v>67.562579666898785</v>
      </c>
      <c r="EI14" s="16">
        <f t="shared" ref="EI14" si="233">EI12+EI13</f>
        <v>51.598723287351433</v>
      </c>
      <c r="EJ14" s="16">
        <f t="shared" ref="EJ14" si="234">EJ12+EJ13</f>
        <v>28.977219231900385</v>
      </c>
      <c r="EK14" s="16">
        <f t="shared" ref="EK14" si="235">EK12+EK13</f>
        <v>32.576631056354572</v>
      </c>
      <c r="EL14" s="16">
        <f t="shared" ref="EL14" si="236">EL12+EL13</f>
        <v>25.991267707422317</v>
      </c>
      <c r="EM14" s="16">
        <f t="shared" ref="EM14" si="237">EM12+EM13</f>
        <v>46.231154164833427</v>
      </c>
      <c r="EN14" s="16">
        <f t="shared" ref="EN14" si="238">EN12+EN13</f>
        <v>44.0703813535427</v>
      </c>
      <c r="EO14" s="16">
        <f t="shared" ref="EO14" si="239">EO12+EO13</f>
        <v>44.109539622697575</v>
      </c>
      <c r="EP14" s="16">
        <f t="shared" ref="EP14" si="240">EP12+EP13</f>
        <v>40.163737241333088</v>
      </c>
      <c r="EQ14" s="16">
        <f t="shared" ref="EQ14" si="241">EQ12+EQ13</f>
        <v>32.98376401056791</v>
      </c>
      <c r="ER14" s="16">
        <f t="shared" ref="ER14" si="242">ER12+ER13</f>
        <v>17.016816410008527</v>
      </c>
      <c r="ES14" s="16">
        <f t="shared" ref="ES14" si="243">ES12+ES13</f>
        <v>3.0026334488764661</v>
      </c>
      <c r="ET14" s="16">
        <f t="shared" ref="ET14" si="244">ET12+ET13</f>
        <v>2.8243698080351468E-3</v>
      </c>
      <c r="EU14" s="11">
        <f t="shared" si="71"/>
        <v>695.87681845085308</v>
      </c>
      <c r="EV14" s="11">
        <f t="shared" si="41"/>
        <v>48.938361699827851</v>
      </c>
      <c r="EW14" s="11">
        <f t="shared" si="42"/>
        <v>18.550431536587467</v>
      </c>
      <c r="EX14" s="11">
        <f t="shared" si="10"/>
        <v>227.58085062166771</v>
      </c>
      <c r="EY14" s="11">
        <f t="shared" si="43"/>
        <v>137.27931510329159</v>
      </c>
      <c r="EZ14" s="15">
        <f t="shared" si="44"/>
        <v>0.32704186227715359</v>
      </c>
      <c r="FA14" s="15">
        <f t="shared" si="45"/>
        <v>0.19727531003101961</v>
      </c>
      <c r="FB14" s="11">
        <f t="shared" si="72"/>
        <v>124.08460188785044</v>
      </c>
    </row>
    <row r="15" spans="1:158" x14ac:dyDescent="0.15">
      <c r="A15" s="7" t="str">
        <f t="shared" ref="A15:A17" si="245">B15&amp;"_"&amp;IF(C15="男性",1,IF(C15="女性",2,IF(C15="合計",3)))</f>
        <v>2025_1</v>
      </c>
      <c r="B15" s="28">
        <v>2025</v>
      </c>
      <c r="C15" s="3" t="s">
        <v>21</v>
      </c>
      <c r="D15" s="3"/>
      <c r="E15" s="3"/>
      <c r="F15" s="3"/>
      <c r="G15" s="3"/>
      <c r="H15" s="3"/>
      <c r="I15" s="3"/>
      <c r="J15" s="3"/>
      <c r="K15" s="3"/>
      <c r="L15" s="3"/>
      <c r="M15" s="3"/>
      <c r="N15" s="3"/>
      <c r="O15" s="3"/>
      <c r="P15" s="3"/>
      <c r="Q15" s="3"/>
      <c r="R15" s="3"/>
      <c r="S15" s="3"/>
      <c r="T15" s="3"/>
      <c r="U15" s="3"/>
      <c r="V15" s="3"/>
      <c r="W15" s="3"/>
      <c r="X15" s="3"/>
      <c r="Y15" s="9">
        <f t="shared" ref="Y15:Y17" si="246">SUM(D15:X15)</f>
        <v>0</v>
      </c>
      <c r="Z15" s="9">
        <f t="shared" ref="Z15:Z17" si="247">E15*3/5+F15*3/5</f>
        <v>0</v>
      </c>
      <c r="AA15" s="9">
        <f t="shared" ref="AA15:AA17" si="248">F15*2/5+G15*1/5</f>
        <v>0</v>
      </c>
      <c r="AB15" s="9">
        <f t="shared" si="0"/>
        <v>0</v>
      </c>
      <c r="AC15" s="9">
        <f t="shared" ref="AC15:AC17" si="249">SUM(S15:X15)</f>
        <v>0</v>
      </c>
      <c r="AD15" s="13" t="e">
        <f t="shared" ref="AD15:AD17" si="250">AB15/Y15</f>
        <v>#DIV/0!</v>
      </c>
      <c r="AE15" s="13" t="e">
        <f t="shared" ref="AE15:AE17" si="251">AC15/Y15</f>
        <v>#DIV/0!</v>
      </c>
      <c r="AF15" s="9">
        <f t="shared" si="17"/>
        <v>0</v>
      </c>
      <c r="BH15" s="7" t="str">
        <f t="shared" si="19"/>
        <v>2045_1</v>
      </c>
      <c r="BI15" s="28">
        <f>管理者入力シート!B12</f>
        <v>2045</v>
      </c>
      <c r="BJ15" s="3" t="s">
        <v>21</v>
      </c>
      <c r="BK15" s="9">
        <f>CM16*$AK$13</f>
        <v>4.4392180707029167</v>
      </c>
      <c r="BL15" s="9">
        <f>IF(管理者入力シート!$B$14=1,BK12*管理者用人口入力シート!AM$3,IF(管理者入力シート!$B$14=2,BK12*管理者用人口入力シート!AM$7))</f>
        <v>5.6175248613502271</v>
      </c>
      <c r="BM15" s="9">
        <f>IF(管理者入力シート!$B$14=1,BL12*管理者用人口入力シート!AN$3,IF(管理者入力シート!$B$14=2,BL12*管理者用人口入力シート!AN$7))</f>
        <v>6.7368194344018617</v>
      </c>
      <c r="BN15" s="9">
        <f>IF(管理者入力シート!$B$14=1,BM12*管理者用人口入力シート!AO$3,IF(管理者入力シート!$B$14=2,BM12*管理者用人口入力シート!AO$7))</f>
        <v>4.7795604456200849</v>
      </c>
      <c r="BO15" s="9">
        <f>IF(管理者入力シート!$B$14=1,BN12*管理者用人口入力シート!AP$3,IF(管理者入力シート!$B$14=2,BN12*管理者用人口入力シート!AP$7))</f>
        <v>2.722225424085936</v>
      </c>
      <c r="BP15" s="9">
        <f>IF(管理者入力シート!$B$14=1,BO12*管理者用人口入力シート!AQ$3,IF(管理者入力シート!$B$14=2,BO12*管理者用人口入力シート!AQ$7))</f>
        <v>2.1090524942284077</v>
      </c>
      <c r="BQ15" s="9">
        <f>IF(管理者入力シート!$B$14=1,BP12*管理者用人口入力シート!AR$3,IF(管理者入力シート!$B$14=2,BP12*管理者用人口入力シート!AR$7))</f>
        <v>2.583051225801881</v>
      </c>
      <c r="BR15" s="9">
        <f>IF(管理者入力シート!$B$14=1,BQ12*管理者用人口入力シート!AS$3,IF(管理者入力シート!$B$14=2,BQ12*管理者用人口入力シート!AS$7))</f>
        <v>2.9883302196286925</v>
      </c>
      <c r="BS15" s="9">
        <f>IF(管理者入力シート!$B$14=1,BR12*管理者用人口入力シート!AT$3,IF(管理者入力シート!$B$14=2,BR12*管理者用人口入力シート!AT$7))</f>
        <v>2.5425669046549126</v>
      </c>
      <c r="BT15" s="9">
        <f>IF(管理者入力シート!$B$14=1,BS12*管理者用人口入力シート!AU$3,IF(管理者入力シート!$B$14=2,BS12*管理者用人口入力シート!AU$7))</f>
        <v>2.8862741575250075</v>
      </c>
      <c r="BU15" s="9">
        <f>IF(管理者入力シート!$B$14=1,BT12*管理者用人口入力シート!AV$3,IF(管理者入力シート!$B$14=2,BT12*管理者用人口入力シート!AV$7))</f>
        <v>6.663962155384108</v>
      </c>
      <c r="BV15" s="9">
        <f>IF(管理者入力シート!$B$14=1,BU12*管理者用人口入力シート!AW$3,IF(管理者入力シート!$B$14=2,BU12*管理者用人口入力シート!AW$7))</f>
        <v>3.8155264064401075</v>
      </c>
      <c r="BW15" s="9">
        <f>IF(管理者入力シート!$B$14=1,BV12*管理者用人口入力シート!AX$3,IF(管理者入力シート!$B$14=2,BV12*管理者用人口入力シート!AX$7))</f>
        <v>19.702151385845386</v>
      </c>
      <c r="BX15" s="9">
        <f>IF(管理者入力シート!$B$14=1,BW12*管理者用人口入力シート!AY$3,IF(管理者入力シート!$B$14=2,BW12*管理者用人口入力シート!AY$7))</f>
        <v>13.471769204101053</v>
      </c>
      <c r="BY15" s="9">
        <f>IF(管理者入力シート!$B$14=1,BX12*管理者用人口入力シート!AZ$3,IF(管理者入力シート!$B$14=2,BX12*管理者用人口入力シート!AZ$7))</f>
        <v>20.430949577141558</v>
      </c>
      <c r="BZ15" s="9">
        <f>IF(管理者入力シート!$B$14=1,BY12*管理者用人口入力シート!BA$3,IF(管理者入力シート!$B$14=2,BY12*管理者用人口入力シート!BA$7))</f>
        <v>16.66598196791761</v>
      </c>
      <c r="CA15" s="9">
        <f>IF(管理者入力シート!$B$14=1,BZ12*管理者用人口入力シート!BB$3,IF(管理者入力シート!$B$14=2,BZ12*管理者用人口入力シート!BB$7))</f>
        <v>15.107119277975068</v>
      </c>
      <c r="CB15" s="9">
        <f>IF(管理者入力シート!$B$14=1,CA12*管理者用人口入力シート!BC$3,IF(管理者入力シート!$B$14=2,CA12*管理者用人口入力シート!BC$7))</f>
        <v>11.883923073952797</v>
      </c>
      <c r="CC15" s="9">
        <f>IF(管理者入力シート!$B$14=1,CB12*管理者用人口入力シート!BD$3,IF(管理者入力シート!$B$14=2,CB12*管理者用人口入力シート!BD$7))</f>
        <v>4.6748015830909706</v>
      </c>
      <c r="CD15" s="9">
        <f>IF(管理者入力シート!$B$14=1,CC12*管理者用人口入力シート!BE$3,IF(管理者入力シート!$B$14=2,CC12*管理者用人口入力シート!BE$7))</f>
        <v>0.10672442168468788</v>
      </c>
      <c r="CE15" s="9">
        <f>IF(管理者入力シート!$B$14=1,CD12*管理者用人口入力シート!BF$3,IF(管理者入力シート!$B$14=2,CD12*管理者用人口入力シート!BF$7))</f>
        <v>7.2816657679400322E-5</v>
      </c>
      <c r="CF15" s="9">
        <f t="shared" ref="CF15:CF20" si="252">SUM(BK15:CE15)</f>
        <v>149.92760510819093</v>
      </c>
      <c r="CG15" s="9">
        <f t="shared" ref="CG15:CG20" si="253">BL15*3/5+BM15*3/5</f>
        <v>7.4126065774512533</v>
      </c>
      <c r="CH15" s="9">
        <f t="shared" ref="CH15:CH20" si="254">BM15*2/5+BN15*1/5</f>
        <v>3.6506398628847618</v>
      </c>
      <c r="CI15" s="9">
        <f t="shared" ref="CI15:CI20" si="255">SUM(BX15:CE15)</f>
        <v>82.341341922521423</v>
      </c>
      <c r="CJ15" s="9">
        <f t="shared" ref="CJ15:CJ20" si="256">SUM(BZ15:CE15)</f>
        <v>48.438623141278811</v>
      </c>
      <c r="CK15" s="13">
        <f t="shared" ref="CK15:CK20" si="257">CI15/CF15</f>
        <v>0.54920734485888822</v>
      </c>
      <c r="CL15" s="13">
        <f t="shared" ref="CL15:CL20" si="258">CJ15/CF15</f>
        <v>0.32308008325968041</v>
      </c>
      <c r="CM15" s="9">
        <f t="shared" ref="CM15:CM20" si="259">SUM(BO15:BR15)</f>
        <v>10.402659363744917</v>
      </c>
      <c r="CO15" s="7" t="str">
        <f t="shared" si="26"/>
        <v>2045_1</v>
      </c>
      <c r="CP15" s="28">
        <f>管理者入力シート!B12</f>
        <v>2045</v>
      </c>
      <c r="CQ15" s="3" t="s">
        <v>21</v>
      </c>
      <c r="CR15" s="9">
        <f>DT16*$AK$13+将来予測シート②!$G17</f>
        <v>6.7643058978183488</v>
      </c>
      <c r="CS15" s="9">
        <f>IF(管理者入力シート!$B$14=1,CR12*管理者用人口入力シート!AM$3,IF(管理者入力シート!$B$14=2,CR12*管理者用人口入力シート!AM$7))+将来予測シート②!$G18</f>
        <v>8.2803962891178493</v>
      </c>
      <c r="CT15" s="9">
        <f>IF(管理者入力シート!$B$14=1,CS12*管理者用人口入力シート!AN$3,IF(管理者入力シート!$B$14=2,CS12*管理者用人口入力シート!AN$7))+将来予測シート②!$G19</f>
        <v>10.640395330439629</v>
      </c>
      <c r="CU15" s="9">
        <f>IF(管理者入力シート!$B$14=1,CT12*管理者用人口入力シート!AO$3,IF(管理者入力シート!$B$14=2,CT12*管理者用人口入力シート!AO$7))+将来予測シート②!$G20</f>
        <v>6.9687328672621218</v>
      </c>
      <c r="CV15" s="9">
        <f>IF(管理者入力シート!$B$14=1,CU12*管理者用人口入力シート!AP$3,IF(管理者入力シート!$B$14=2,CU12*管理者用人口入力シート!AP$7))+将来予測シート②!$G21</f>
        <v>3.6082557247341627</v>
      </c>
      <c r="CW15" s="9">
        <f>IF(管理者入力シート!$B$14=1,CV12*管理者用人口入力シート!AQ$3,IF(管理者入力シート!$B$14=2,CV12*管理者用人口入力シート!AQ$7))+将来予測シート②!$G22</f>
        <v>4.3239386179685093</v>
      </c>
      <c r="CX15" s="9">
        <f>IF(管理者入力シート!$B$14=1,CW12*管理者用人口入力シート!AR$3,IF(管理者入力シート!$B$14=2,CW12*管理者用人口入力シート!AR$7))+将来予測シート②!$G23</f>
        <v>4.0480606922379163</v>
      </c>
      <c r="CY15" s="9">
        <f>IF(管理者入力シート!$B$14=1,CX12*管理者用人口入力シート!AS$3,IF(管理者入力シート!$B$14=2,CX12*管理者用人口入力シート!AS$7))+将来予測シート②!$G24</f>
        <v>4.452180329051493</v>
      </c>
      <c r="CZ15" s="9">
        <f>IF(管理者入力シート!$B$14=1,CY12*管理者用人口入力シート!AT$3,IF(管理者入力シート!$B$14=2,CY12*管理者用人口入力シート!AT$7))+将来予測シート②!$G25</f>
        <v>4.5651664920446384</v>
      </c>
      <c r="DA15" s="9">
        <f>IF(管理者入力シート!$B$14=1,CZ12*管理者用人口入力シート!AU$3,IF(管理者入力シート!$B$14=2,CZ12*管理者用人口入力シート!AU$7))+将来予測シート②!$G26</f>
        <v>4.8680089347524564</v>
      </c>
      <c r="DB15" s="9">
        <f>IF(管理者入力シート!$B$14=1,DA12*管理者用人口入力シート!AV$3,IF(管理者入力シート!$B$14=2,DA12*管理者用人口入力シート!AV$7))+将来予測シート②!$G27</f>
        <v>6.663962155384108</v>
      </c>
      <c r="DC15" s="9">
        <f>IF(管理者入力シート!$B$14=1,DB12*管理者用人口入力シート!AW$3,IF(管理者入力シート!$B$14=2,DB12*管理者用人口入力シート!AW$7))+将来予測シート②!$G28</f>
        <v>3.8155264064401075</v>
      </c>
      <c r="DD15" s="9">
        <f>IF(管理者入力シート!$B$14=1,DC12*管理者用人口入力シート!AX$3,IF(管理者入力シート!$B$14=2,DC12*管理者用人口入力シート!AX$7))+将来予測シート②!$G29</f>
        <v>19.702151385845386</v>
      </c>
      <c r="DE15" s="9">
        <f>IF(管理者入力シート!$B$14=1,DD12*管理者用人口入力シート!AY$3,IF(管理者入力シート!$B$14=2,DD12*管理者用人口入力シート!AY$7))</f>
        <v>13.471769204101053</v>
      </c>
      <c r="DF15" s="9">
        <f>IF(管理者入力シート!$B$14=1,DE12*管理者用人口入力シート!AZ$3,IF(管理者入力シート!$B$14=2,DE12*管理者用人口入力シート!AZ$7))</f>
        <v>20.430949577141558</v>
      </c>
      <c r="DG15" s="9">
        <f>IF(管理者入力シート!$B$14=1,DF12*管理者用人口入力シート!BA$3,IF(管理者入力シート!$B$14=2,DF12*管理者用人口入力シート!BA$7))</f>
        <v>16.66598196791761</v>
      </c>
      <c r="DH15" s="9">
        <f>IF(管理者入力シート!$B$14=1,DG12*管理者用人口入力シート!BB$3,IF(管理者入力シート!$B$14=2,DG12*管理者用人口入力シート!BB$7))</f>
        <v>15.107119277975068</v>
      </c>
      <c r="DI15" s="9">
        <f>IF(管理者入力シート!$B$14=1,DH12*管理者用人口入力シート!BC$3,IF(管理者入力シート!$B$14=2,DH12*管理者用人口入力シート!BC$7))</f>
        <v>11.883923073952797</v>
      </c>
      <c r="DJ15" s="9">
        <f>IF(管理者入力シート!$B$14=1,DI12*管理者用人口入力シート!BD$3,IF(管理者入力シート!$B$14=2,DI12*管理者用人口入力シート!BD$7))</f>
        <v>4.6748015830909706</v>
      </c>
      <c r="DK15" s="9">
        <f>IF(管理者入力シート!$B$14=1,DJ12*管理者用人口入力シート!BE$3,IF(管理者入力シート!$B$14=2,DJ12*管理者用人口入力シート!BE$7))</f>
        <v>0.10672442168468788</v>
      </c>
      <c r="DL15" s="9">
        <f>IF(管理者入力シート!$B$14=1,DK12*管理者用人口入力シート!BF$3,IF(管理者入力シート!$B$14=2,DK12*管理者用人口入力シート!BF$7))</f>
        <v>7.2816657679400322E-5</v>
      </c>
      <c r="DM15" s="9">
        <f t="shared" ref="DM15:DM20" si="260">SUM(CR15:DL15)</f>
        <v>171.04242304561816</v>
      </c>
      <c r="DN15" s="9">
        <f t="shared" ref="DN15:DN20" si="261">CS15*3/5+CT15*3/5</f>
        <v>11.352474971734487</v>
      </c>
      <c r="DO15" s="9">
        <f t="shared" ref="DO15:DO20" si="262">CT15*2/5+CU15*1/5</f>
        <v>5.6499047056282761</v>
      </c>
      <c r="DP15" s="9">
        <f t="shared" ref="DP15:DP20" si="263">SUM(DE15:DL15)</f>
        <v>82.341341922521423</v>
      </c>
      <c r="DQ15" s="9">
        <f t="shared" ref="DQ15:DQ20" si="264">SUM(DG15:DL15)</f>
        <v>48.438623141278811</v>
      </c>
      <c r="DR15" s="13">
        <f t="shared" ref="DR15:DR20" si="265">DP15/DM15</f>
        <v>0.4814088835759795</v>
      </c>
      <c r="DS15" s="13">
        <f t="shared" ref="DS15:DS20" si="266">DQ15/DM15</f>
        <v>0.28319654433543601</v>
      </c>
      <c r="DT15" s="9">
        <f t="shared" ref="DT15:DT20" si="267">SUM(CV15:CY15)</f>
        <v>16.432435363992081</v>
      </c>
      <c r="DV15" s="62" t="s">
        <v>404</v>
      </c>
      <c r="DW15" s="210">
        <f>AK13+AK14</f>
        <v>0.53488372093023262</v>
      </c>
    </row>
    <row r="16" spans="1:158" ht="12.95" customHeight="1" x14ac:dyDescent="0.15">
      <c r="A16" s="7" t="str">
        <f t="shared" si="245"/>
        <v>2025_2</v>
      </c>
      <c r="B16" s="29">
        <v>2025</v>
      </c>
      <c r="C16" s="4" t="s">
        <v>22</v>
      </c>
      <c r="D16" s="4"/>
      <c r="E16" s="4"/>
      <c r="F16" s="4"/>
      <c r="G16" s="4"/>
      <c r="H16" s="4"/>
      <c r="I16" s="4"/>
      <c r="J16" s="4"/>
      <c r="K16" s="4"/>
      <c r="L16" s="4"/>
      <c r="M16" s="4"/>
      <c r="N16" s="4"/>
      <c r="O16" s="4"/>
      <c r="P16" s="4"/>
      <c r="Q16" s="4"/>
      <c r="R16" s="4"/>
      <c r="S16" s="4"/>
      <c r="T16" s="4"/>
      <c r="U16" s="4"/>
      <c r="V16" s="4"/>
      <c r="W16" s="4"/>
      <c r="X16" s="4"/>
      <c r="Y16" s="10">
        <f t="shared" si="246"/>
        <v>0</v>
      </c>
      <c r="Z16" s="10">
        <f t="shared" si="247"/>
        <v>0</v>
      </c>
      <c r="AA16" s="10">
        <f t="shared" si="248"/>
        <v>0</v>
      </c>
      <c r="AB16" s="10">
        <f t="shared" si="0"/>
        <v>0</v>
      </c>
      <c r="AC16" s="10">
        <f t="shared" si="249"/>
        <v>0</v>
      </c>
      <c r="AD16" s="14" t="e">
        <f t="shared" si="250"/>
        <v>#DIV/0!</v>
      </c>
      <c r="AE16" s="14" t="e">
        <f t="shared" si="251"/>
        <v>#DIV/0!</v>
      </c>
      <c r="AF16" s="10">
        <f t="shared" si="17"/>
        <v>0</v>
      </c>
      <c r="BH16" s="7" t="str">
        <f t="shared" si="19"/>
        <v>2045_2</v>
      </c>
      <c r="BI16" s="29">
        <f>BI15</f>
        <v>2045</v>
      </c>
      <c r="BJ16" s="4" t="s">
        <v>22</v>
      </c>
      <c r="BK16" s="10">
        <f>CM16*$AK$14</f>
        <v>10.146784161606666</v>
      </c>
      <c r="BL16" s="10">
        <f>IF(管理者入力シート!$B$14=1,BK13*管理者用人口入力シート!AM$4,IF(管理者入力シート!$B$14=2,BK13*管理者用人口入力シート!AM$8))</f>
        <v>10.577449585826132</v>
      </c>
      <c r="BM16" s="10">
        <f>IF(管理者入力シート!$B$14=1,BL13*管理者用人口入力シート!AN$4,IF(管理者入力シート!$B$14=2,BL13*管理者用人口入力シート!AN$8))</f>
        <v>9.8089629074959745</v>
      </c>
      <c r="BN16" s="10">
        <f>IF(管理者入力シート!$B$14=1,BM13*管理者用人口入力シート!AO$4,IF(管理者入力シート!$B$14=2,BM13*管理者用人口入力シート!AO$8))</f>
        <v>10.958994368221113</v>
      </c>
      <c r="BO16" s="10">
        <f>IF(管理者入力シート!$B$14=1,BN13*管理者用人口入力シート!AP$4,IF(管理者入力シート!$B$14=2,BN13*管理者用人口入力シート!AP$8))</f>
        <v>7.6167102938682225</v>
      </c>
      <c r="BP16" s="10">
        <f>IF(管理者入力シート!$B$14=1,BO13*管理者用人口入力シート!AQ$4,IF(管理者入力シート!$B$14=2,BO13*管理者用人口入力シート!AQ$8))</f>
        <v>7.5762740271921292</v>
      </c>
      <c r="BQ16" s="10">
        <f>IF(管理者入力シート!$B$14=1,BP13*管理者用人口入力シート!AR$4,IF(管理者入力シート!$B$14=2,BP13*管理者用人口入力シート!AR$8))</f>
        <v>4.5489466109061283</v>
      </c>
      <c r="BR16" s="10">
        <f>IF(管理者入力シート!$B$14=1,BQ13*管理者用人口入力シート!AS$4,IF(管理者入力シート!$B$14=2,BQ13*管理者用人口入力シート!AS$8))</f>
        <v>7.5275515023514368</v>
      </c>
      <c r="BS16" s="10">
        <f>IF(管理者入力シート!$B$14=1,BR13*管理者用人口入力シート!AT$4,IF(管理者入力シート!$B$14=2,BR13*管理者用人口入力シート!AT$8))</f>
        <v>7.0361522166969159</v>
      </c>
      <c r="BT16" s="10">
        <f>IF(管理者入力シート!$B$14=1,BS13*管理者用人口入力シート!AU$4,IF(管理者入力シート!$B$14=2,BS13*管理者用人口入力シート!AU$8))</f>
        <v>9.5429132698505317</v>
      </c>
      <c r="BU16" s="10">
        <f>IF(管理者入力シート!$B$14=1,BT13*管理者用人口入力シート!AV$4,IF(管理者入力シート!$B$14=2,BT13*管理者用人口入力シート!AV$8))</f>
        <v>8.9520461591070131</v>
      </c>
      <c r="BV16" s="10">
        <f>IF(管理者入力シート!$B$14=1,BU13*管理者用人口入力シート!AW$4,IF(管理者入力シート!$B$14=2,BU13*管理者用人口入力シート!AW$8))</f>
        <v>7.883923515610741</v>
      </c>
      <c r="BW16" s="10">
        <f>IF(管理者入力シート!$B$14=1,BV13*管理者用人口入力シート!AX$4,IF(管理者入力シート!$B$14=2,BV13*管理者用人口入力シート!AX$8))</f>
        <v>16.613984765730301</v>
      </c>
      <c r="BX16" s="10">
        <f>IF(管理者入力シート!$B$14=1,BW13*管理者用人口入力シート!AY$4,IF(管理者入力シート!$B$14=2,BW13*管理者用人口入力シート!AY$8))</f>
        <v>12.783918469255484</v>
      </c>
      <c r="BY16" s="10">
        <f>IF(管理者入力シート!$B$14=1,BX13*管理者用人口入力シート!AZ$4,IF(管理者入力シート!$B$14=2,BX13*管理者用人口入力シート!AZ$8))</f>
        <v>24.566095340795211</v>
      </c>
      <c r="BZ16" s="10">
        <f>IF(管理者入力シート!$B$14=1,BY13*管理者用人口入力シート!BA$4,IF(管理者入力シート!$B$14=2,BY13*管理者用人口入力シート!BA$8))</f>
        <v>22.422133095340325</v>
      </c>
      <c r="CA16" s="10">
        <f>IF(管理者入力シート!$B$14=1,BZ13*管理者用人口入力シート!BB$4,IF(管理者入力シート!$B$14=2,BZ13*管理者用人口入力シート!BB$8))</f>
        <v>18.700583296861357</v>
      </c>
      <c r="CB16" s="10">
        <f>IF(管理者入力シート!$B$14=1,CA13*管理者用人口入力シート!BC$4,IF(管理者入力シート!$B$14=2,CA13*管理者用人口入力シート!BC$8))</f>
        <v>16.995049000150431</v>
      </c>
      <c r="CC16" s="10">
        <f>IF(管理者入力シート!$B$14=1,CB13*管理者用人口入力シート!BD$4,IF(管理者入力シート!$B$14=2,CB13*管理者用人口入力シート!BD$8))</f>
        <v>10.759104329135507</v>
      </c>
      <c r="CD16" s="10">
        <f>IF(管理者入力シート!$B$14=1,CC13*管理者用人口入力シート!BE$4,IF(管理者入力シート!$B$14=2,CC13*管理者用人口入力シート!BE$8))</f>
        <v>3.2248704950950406</v>
      </c>
      <c r="CE16" s="10">
        <f>IF(管理者入力シート!$B$14=1,CD13*管理者用人口入力シート!BF$4,IF(管理者入力シート!$B$14=2,CD13*管理者用人口入力シート!BF$8))</f>
        <v>2.9298167911970658E-3</v>
      </c>
      <c r="CF16" s="10">
        <f t="shared" si="252"/>
        <v>228.2453772278879</v>
      </c>
      <c r="CG16" s="10">
        <f t="shared" si="253"/>
        <v>12.231847495993264</v>
      </c>
      <c r="CH16" s="10">
        <f t="shared" si="254"/>
        <v>6.1153840366426131</v>
      </c>
      <c r="CI16" s="10">
        <f t="shared" si="255"/>
        <v>109.45468384342456</v>
      </c>
      <c r="CJ16" s="10">
        <f t="shared" si="256"/>
        <v>72.104670033373864</v>
      </c>
      <c r="CK16" s="14">
        <f t="shared" si="257"/>
        <v>0.47954830530539644</v>
      </c>
      <c r="CL16" s="14">
        <f t="shared" si="258"/>
        <v>0.31590856695153186</v>
      </c>
      <c r="CM16" s="10">
        <f t="shared" si="259"/>
        <v>27.269482434317915</v>
      </c>
      <c r="CO16" s="7" t="str">
        <f t="shared" si="26"/>
        <v>2045_2</v>
      </c>
      <c r="CP16" s="29">
        <f>CP15</f>
        <v>2045</v>
      </c>
      <c r="CQ16" s="4" t="s">
        <v>22</v>
      </c>
      <c r="CR16" s="10">
        <f>DT16*$AK$14+将来予測シート②!$H17</f>
        <v>14.175556337870511</v>
      </c>
      <c r="CS16" s="10">
        <f>IF(管理者入力シート!$B$14=1,CR13*管理者用人口入力シート!AM$4,IF(管理者入力シート!$B$14=2,CR13*管理者用人口入力シート!AM$8))+将来予測シート②!$H18</f>
        <v>14.284024495861804</v>
      </c>
      <c r="CT16" s="10">
        <f>IF(管理者入力シート!$B$14=1,CS13*管理者用人口入力シート!AN$4,IF(管理者入力シート!$B$14=2,CS13*管理者用人口入力シート!AN$8))+将来予測シート②!$H19</f>
        <v>13.888292540842665</v>
      </c>
      <c r="CU16" s="10">
        <f>IF(管理者入力シート!$B$14=1,CT13*管理者用人口入力シート!AO$4,IF(管理者入力シート!$B$14=2,CT13*管理者用人口入力シート!AO$8))+将来予測シート②!$H20</f>
        <v>14.250997201637556</v>
      </c>
      <c r="CV16" s="10">
        <f>IF(管理者入力シート!$B$14=1,CU13*管理者用人口入力シート!AP$4,IF(管理者入力シート!$B$14=2,CU13*管理者用人口入力シート!AP$8))+将来予測シート②!$H21</f>
        <v>8.9586031842547929</v>
      </c>
      <c r="CW16" s="10">
        <f>IF(管理者入力シート!$B$14=1,CV13*管理者用人口入力シート!AQ$4,IF(管理者入力シート!$B$14=2,CV13*管理者用人口入力シート!AQ$8))+将来予測シート②!$H22</f>
        <v>10.106435875517157</v>
      </c>
      <c r="CX16" s="10">
        <f>IF(管理者入力シート!$B$14=1,CW13*管理者用人口入力シート!AR$4,IF(管理者入力シート!$B$14=2,CW13*管理者用人口入力シート!AR$8))+将来予測シート②!$H23</f>
        <v>6.4502851826637677</v>
      </c>
      <c r="CY16" s="10">
        <f>IF(管理者入力シート!$B$14=1,CX13*管理者用人口入力シート!AS$4,IF(管理者入力シート!$B$14=2,CX13*管理者用人口入力シート!AS$8))+将来予測シート②!$H24</f>
        <v>9.8939834155912809</v>
      </c>
      <c r="CZ16" s="10">
        <f>IF(管理者入力シート!$B$14=1,CY13*管理者用人口入力シート!AT$4,IF(管理者入力シート!$B$14=2,CY13*管理者用人口入力シート!AT$8))+将来予測シート②!$H25</f>
        <v>10.417901001251508</v>
      </c>
      <c r="DA16" s="10">
        <f>IF(管理者入力シート!$B$14=1,CZ13*管理者用人口入力シート!AU$4,IF(管理者入力シート!$B$14=2,CZ13*管理者用人口入力シート!AU$8))+将来予測シート②!$H26</f>
        <v>12.562156783657715</v>
      </c>
      <c r="DB16" s="10">
        <f>IF(管理者入力シート!$B$14=1,DA13*管理者用人口入力シート!AV$4,IF(管理者入力シート!$B$14=2,DA13*管理者用人口入力シート!AV$8))+将来予測シート②!$H27</f>
        <v>9.8916967025606475</v>
      </c>
      <c r="DC16" s="10">
        <f>IF(管理者入力シート!$B$14=1,DB13*管理者用人口入力シート!AW$4,IF(管理者入力シート!$B$14=2,DB13*管理者用人口入力シート!AW$8))+将来予測シート②!$H28</f>
        <v>8.7130797131995923</v>
      </c>
      <c r="DD16" s="10">
        <f>IF(管理者入力シート!$B$14=1,DC13*管理者用人口入力シート!AX$4,IF(管理者入力シート!$B$14=2,DC13*管理者用人口入力シート!AX$8))+将来予測シート②!$H29</f>
        <v>17.584993078185523</v>
      </c>
      <c r="DE16" s="10">
        <f>IF(管理者入力シート!$B$14=1,DD13*管理者用人口入力シート!AY$4,IF(管理者入力シート!$B$14=2,DD13*管理者用人口入力シート!AY$8))</f>
        <v>12.783918469255484</v>
      </c>
      <c r="DF16" s="10">
        <f>IF(管理者入力シート!$B$14=1,DE13*管理者用人口入力シート!AZ$4,IF(管理者入力シート!$B$14=2,DE13*管理者用人口入力シート!AZ$8))</f>
        <v>24.566095340795211</v>
      </c>
      <c r="DG16" s="10">
        <f>IF(管理者入力シート!$B$14=1,DF13*管理者用人口入力シート!BA$4,IF(管理者入力シート!$B$14=2,DF13*管理者用人口入力シート!BA$8))</f>
        <v>22.422133095340325</v>
      </c>
      <c r="DH16" s="10">
        <f>IF(管理者入力シート!$B$14=1,DG13*管理者用人口入力シート!BB$4,IF(管理者入力シート!$B$14=2,DG13*管理者用人口入力シート!BB$8))</f>
        <v>18.700583296861357</v>
      </c>
      <c r="DI16" s="10">
        <f>IF(管理者入力シート!$B$14=1,DH13*管理者用人口入力シート!BC$4,IF(管理者入力シート!$B$14=2,DH13*管理者用人口入力シート!BC$8))</f>
        <v>16.995049000150431</v>
      </c>
      <c r="DJ16" s="10">
        <f>IF(管理者入力シート!$B$14=1,DI13*管理者用人口入力シート!BD$4,IF(管理者入力シート!$B$14=2,DI13*管理者用人口入力シート!BD$8))</f>
        <v>10.759104329135507</v>
      </c>
      <c r="DK16" s="10">
        <f>IF(管理者入力シート!$B$14=1,DJ13*管理者用人口入力シート!BE$4,IF(管理者入力シート!$B$14=2,DJ13*管理者用人口入力シート!BE$8))</f>
        <v>3.2248704950950406</v>
      </c>
      <c r="DL16" s="10">
        <f>IF(管理者入力シート!$B$14=1,DK13*管理者用人口入力シート!BF$4,IF(管理者入力シート!$B$14=2,DK13*管理者用人口入力シート!BF$8))</f>
        <v>2.9298167911970658E-3</v>
      </c>
      <c r="DM16" s="10">
        <f t="shared" si="260"/>
        <v>260.63268935651911</v>
      </c>
      <c r="DN16" s="10">
        <f t="shared" si="261"/>
        <v>16.903390222022683</v>
      </c>
      <c r="DO16" s="10">
        <f t="shared" si="262"/>
        <v>8.4055164566645768</v>
      </c>
      <c r="DP16" s="10">
        <f t="shared" si="263"/>
        <v>109.45468384342456</v>
      </c>
      <c r="DQ16" s="10">
        <f t="shared" si="264"/>
        <v>72.104670033373864</v>
      </c>
      <c r="DR16" s="14">
        <f t="shared" si="265"/>
        <v>0.41995761972014817</v>
      </c>
      <c r="DS16" s="14">
        <f t="shared" si="266"/>
        <v>0.27665244222201912</v>
      </c>
      <c r="DT16" s="10">
        <f t="shared" si="267"/>
        <v>35.409307658026997</v>
      </c>
      <c r="DV16" s="211" t="s">
        <v>406</v>
      </c>
      <c r="DW16" s="7">
        <f>IF(DW10&lt;0,ABS(DW10)/DW15,0)</f>
        <v>10.11870977956799</v>
      </c>
    </row>
    <row r="17" spans="1:158" ht="12.95" customHeight="1" x14ac:dyDescent="0.15">
      <c r="A17" s="7" t="str">
        <f t="shared" si="245"/>
        <v>2025_3</v>
      </c>
      <c r="B17" s="30">
        <v>2025</v>
      </c>
      <c r="C17" s="5" t="s">
        <v>23</v>
      </c>
      <c r="D17" s="5"/>
      <c r="E17" s="5"/>
      <c r="F17" s="5"/>
      <c r="G17" s="5"/>
      <c r="H17" s="5"/>
      <c r="I17" s="5"/>
      <c r="J17" s="5"/>
      <c r="K17" s="5"/>
      <c r="L17" s="5"/>
      <c r="M17" s="5"/>
      <c r="N17" s="5"/>
      <c r="O17" s="5"/>
      <c r="P17" s="5"/>
      <c r="Q17" s="5"/>
      <c r="R17" s="5"/>
      <c r="S17" s="5"/>
      <c r="T17" s="5"/>
      <c r="U17" s="5"/>
      <c r="V17" s="5"/>
      <c r="W17" s="5"/>
      <c r="X17" s="5"/>
      <c r="Y17" s="11">
        <f t="shared" si="246"/>
        <v>0</v>
      </c>
      <c r="Z17" s="11">
        <f t="shared" si="247"/>
        <v>0</v>
      </c>
      <c r="AA17" s="11">
        <f t="shared" si="248"/>
        <v>0</v>
      </c>
      <c r="AB17" s="11">
        <f t="shared" si="0"/>
        <v>0</v>
      </c>
      <c r="AC17" s="11">
        <f t="shared" si="249"/>
        <v>0</v>
      </c>
      <c r="AD17" s="15" t="e">
        <f t="shared" si="250"/>
        <v>#DIV/0!</v>
      </c>
      <c r="AE17" s="15" t="e">
        <f t="shared" si="251"/>
        <v>#DIV/0!</v>
      </c>
      <c r="AF17" s="11">
        <f t="shared" si="17"/>
        <v>0</v>
      </c>
      <c r="BH17" s="7" t="str">
        <f t="shared" si="19"/>
        <v>2045_3</v>
      </c>
      <c r="BI17" s="30">
        <f>BI16</f>
        <v>2045</v>
      </c>
      <c r="BJ17" s="5" t="s">
        <v>23</v>
      </c>
      <c r="BK17" s="16">
        <f>BK15+BK16</f>
        <v>14.586002232309582</v>
      </c>
      <c r="BL17" s="16">
        <f t="shared" ref="BL17:CE17" si="268">BL15+BL16</f>
        <v>16.19497444717636</v>
      </c>
      <c r="BM17" s="16">
        <f t="shared" si="268"/>
        <v>16.545782341897837</v>
      </c>
      <c r="BN17" s="16">
        <f t="shared" si="268"/>
        <v>15.738554813841198</v>
      </c>
      <c r="BO17" s="16">
        <f t="shared" si="268"/>
        <v>10.338935717954158</v>
      </c>
      <c r="BP17" s="16">
        <f t="shared" si="268"/>
        <v>9.6853265214205368</v>
      </c>
      <c r="BQ17" s="16">
        <f t="shared" si="268"/>
        <v>7.1319978367080097</v>
      </c>
      <c r="BR17" s="16">
        <f t="shared" si="268"/>
        <v>10.515881721980129</v>
      </c>
      <c r="BS17" s="16">
        <f t="shared" si="268"/>
        <v>9.5787191213518277</v>
      </c>
      <c r="BT17" s="16">
        <f t="shared" si="268"/>
        <v>12.429187427375538</v>
      </c>
      <c r="BU17" s="16">
        <f t="shared" si="268"/>
        <v>15.616008314491122</v>
      </c>
      <c r="BV17" s="16">
        <f t="shared" si="268"/>
        <v>11.699449922050849</v>
      </c>
      <c r="BW17" s="16">
        <f t="shared" si="268"/>
        <v>36.316136151575691</v>
      </c>
      <c r="BX17" s="16">
        <f t="shared" si="268"/>
        <v>26.255687673356537</v>
      </c>
      <c r="BY17" s="16">
        <f t="shared" si="268"/>
        <v>44.997044917936769</v>
      </c>
      <c r="BZ17" s="16">
        <f t="shared" si="268"/>
        <v>39.088115063257931</v>
      </c>
      <c r="CA17" s="16">
        <f t="shared" si="268"/>
        <v>33.807702574836426</v>
      </c>
      <c r="CB17" s="16">
        <f t="shared" si="268"/>
        <v>28.878972074103228</v>
      </c>
      <c r="CC17" s="16">
        <f t="shared" si="268"/>
        <v>15.433905912226479</v>
      </c>
      <c r="CD17" s="16">
        <f t="shared" si="268"/>
        <v>3.3315949167797285</v>
      </c>
      <c r="CE17" s="16">
        <f t="shared" si="268"/>
        <v>3.0026334488764662E-3</v>
      </c>
      <c r="CF17" s="11">
        <f t="shared" si="252"/>
        <v>378.1729823360788</v>
      </c>
      <c r="CG17" s="11">
        <f t="shared" si="253"/>
        <v>19.644454073444521</v>
      </c>
      <c r="CH17" s="11">
        <f t="shared" si="254"/>
        <v>9.766023899527374</v>
      </c>
      <c r="CI17" s="11">
        <f t="shared" si="255"/>
        <v>191.79602576594598</v>
      </c>
      <c r="CJ17" s="11">
        <f t="shared" si="256"/>
        <v>120.54329317465267</v>
      </c>
      <c r="CK17" s="15">
        <f t="shared" si="257"/>
        <v>0.50716480215262616</v>
      </c>
      <c r="CL17" s="15">
        <f t="shared" si="258"/>
        <v>0.31875173215712954</v>
      </c>
      <c r="CM17" s="11">
        <f t="shared" si="259"/>
        <v>37.672141798062832</v>
      </c>
      <c r="CO17" s="7" t="str">
        <f t="shared" si="26"/>
        <v>2045_3</v>
      </c>
      <c r="CP17" s="30">
        <f>CP16</f>
        <v>2045</v>
      </c>
      <c r="CQ17" s="5" t="s">
        <v>23</v>
      </c>
      <c r="CR17" s="16">
        <f>CR15+CR16</f>
        <v>20.93986223568886</v>
      </c>
      <c r="CS17" s="16">
        <f>CS15+CS16</f>
        <v>22.564420784979653</v>
      </c>
      <c r="CT17" s="16">
        <f t="shared" ref="CT17:DL17" si="269">CT15+CT16</f>
        <v>24.528687871282294</v>
      </c>
      <c r="CU17" s="16">
        <f t="shared" si="269"/>
        <v>21.219730068899679</v>
      </c>
      <c r="CV17" s="16">
        <f t="shared" si="269"/>
        <v>12.566858908988955</v>
      </c>
      <c r="CW17" s="16">
        <f t="shared" si="269"/>
        <v>14.430374493485665</v>
      </c>
      <c r="CX17" s="16">
        <f t="shared" si="269"/>
        <v>10.498345874901684</v>
      </c>
      <c r="CY17" s="16">
        <f t="shared" si="269"/>
        <v>14.346163744642773</v>
      </c>
      <c r="CZ17" s="16">
        <f t="shared" si="269"/>
        <v>14.983067493296147</v>
      </c>
      <c r="DA17" s="16">
        <f t="shared" si="269"/>
        <v>17.430165718410173</v>
      </c>
      <c r="DB17" s="16">
        <f t="shared" si="269"/>
        <v>16.555658857944756</v>
      </c>
      <c r="DC17" s="16">
        <f t="shared" si="269"/>
        <v>12.528606119639701</v>
      </c>
      <c r="DD17" s="16">
        <f t="shared" si="269"/>
        <v>37.287144464030909</v>
      </c>
      <c r="DE17" s="16">
        <f t="shared" si="269"/>
        <v>26.255687673356537</v>
      </c>
      <c r="DF17" s="16">
        <f t="shared" si="269"/>
        <v>44.997044917936769</v>
      </c>
      <c r="DG17" s="16">
        <f t="shared" si="269"/>
        <v>39.088115063257931</v>
      </c>
      <c r="DH17" s="16">
        <f t="shared" si="269"/>
        <v>33.807702574836426</v>
      </c>
      <c r="DI17" s="16">
        <f t="shared" si="269"/>
        <v>28.878972074103228</v>
      </c>
      <c r="DJ17" s="16">
        <f t="shared" si="269"/>
        <v>15.433905912226479</v>
      </c>
      <c r="DK17" s="16">
        <f t="shared" si="269"/>
        <v>3.3315949167797285</v>
      </c>
      <c r="DL17" s="16">
        <f t="shared" si="269"/>
        <v>3.0026334488764662E-3</v>
      </c>
      <c r="DM17" s="11">
        <f t="shared" si="260"/>
        <v>431.67511240213724</v>
      </c>
      <c r="DN17" s="11">
        <f t="shared" si="261"/>
        <v>28.255865193757167</v>
      </c>
      <c r="DO17" s="11">
        <f t="shared" si="262"/>
        <v>14.055421162292852</v>
      </c>
      <c r="DP17" s="11">
        <f t="shared" si="263"/>
        <v>191.79602576594598</v>
      </c>
      <c r="DQ17" s="11">
        <f t="shared" si="264"/>
        <v>120.54329317465267</v>
      </c>
      <c r="DR17" s="15">
        <f t="shared" si="265"/>
        <v>0.44430642456698738</v>
      </c>
      <c r="DS17" s="15">
        <f t="shared" si="266"/>
        <v>0.27924540866826181</v>
      </c>
      <c r="DT17" s="11">
        <f t="shared" si="267"/>
        <v>51.841743022019081</v>
      </c>
      <c r="DV17" s="62" t="s">
        <v>407</v>
      </c>
      <c r="DW17" s="7">
        <f>IF(DW9&gt;=0,0,IF(AND(DW10&lt;=0,DW9&lt;=0,DW16*2&gt;=ABS(DW9)),ROUND(DW16/3,0),ROUND(ABS(DW9)/6,0)))</f>
        <v>7</v>
      </c>
      <c r="DX17" s="2" t="s">
        <v>360</v>
      </c>
    </row>
    <row r="18" spans="1:158" x14ac:dyDescent="0.15">
      <c r="A18" s="7" t="str">
        <f t="shared" ref="A18:A20" si="270">B18&amp;"_"&amp;IF(C18="男性",1,IF(C18="女性",2,IF(C18="合計",3)))</f>
        <v>2030_1</v>
      </c>
      <c r="B18" s="28">
        <v>2030</v>
      </c>
      <c r="C18" s="3" t="s">
        <v>21</v>
      </c>
      <c r="D18" s="3"/>
      <c r="E18" s="3"/>
      <c r="F18" s="3"/>
      <c r="G18" s="3"/>
      <c r="H18" s="3"/>
      <c r="I18" s="3"/>
      <c r="J18" s="3"/>
      <c r="K18" s="3"/>
      <c r="L18" s="3"/>
      <c r="M18" s="3"/>
      <c r="N18" s="3"/>
      <c r="O18" s="3"/>
      <c r="P18" s="3"/>
      <c r="Q18" s="3"/>
      <c r="R18" s="3"/>
      <c r="S18" s="3"/>
      <c r="T18" s="3"/>
      <c r="U18" s="3"/>
      <c r="V18" s="3"/>
      <c r="W18" s="3"/>
      <c r="X18" s="3"/>
      <c r="Y18" s="9">
        <f>SUM(D18:X18)</f>
        <v>0</v>
      </c>
      <c r="Z18" s="9">
        <f t="shared" ref="Z18:Z20" si="271">E18*3/5+F18*3/5</f>
        <v>0</v>
      </c>
      <c r="AA18" s="9">
        <f t="shared" ref="AA18:AA20" si="272">F18*2/5+G18*1/5</f>
        <v>0</v>
      </c>
      <c r="AB18" s="9">
        <f t="shared" si="0"/>
        <v>0</v>
      </c>
      <c r="AC18" s="9">
        <f t="shared" ref="AC18:AC20" si="273">SUM(S18:X18)</f>
        <v>0</v>
      </c>
      <c r="AD18" s="13" t="e">
        <f t="shared" ref="AD18:AD20" si="274">AB18/Y18</f>
        <v>#DIV/0!</v>
      </c>
      <c r="AE18" s="13" t="e">
        <f t="shared" ref="AE18:AE20" si="275">AC18/Y18</f>
        <v>#DIV/0!</v>
      </c>
      <c r="AF18" s="9">
        <f t="shared" si="17"/>
        <v>0</v>
      </c>
      <c r="BH18" s="7" t="str">
        <f t="shared" si="19"/>
        <v>2050_1</v>
      </c>
      <c r="BI18" s="28">
        <f>管理者入力シート!B13</f>
        <v>2050</v>
      </c>
      <c r="BJ18" s="3" t="s">
        <v>21</v>
      </c>
      <c r="BK18" s="9">
        <f>CM19*$AK$13</f>
        <v>4.1946100586853463</v>
      </c>
      <c r="BL18" s="9">
        <f>IF(管理者入力シート!$B$14=1,BK15*管理者用人口入力シート!AM$3,IF(管理者入力シート!$B$14=2,BK15*管理者用人口入力シート!AM$7))</f>
        <v>5.4798897561737174</v>
      </c>
      <c r="BM18" s="9">
        <f>IF(管理者入力シート!$B$14=1,BL15*管理者用人口入力シート!AN$3,IF(管理者入力シート!$B$14=2,BL15*管理者用人口入力シート!AN$7))</f>
        <v>6.3805870621234257</v>
      </c>
      <c r="BN18" s="9">
        <f>IF(管理者入力シート!$B$14=1,BM15*管理者用人口入力シート!AO$3,IF(管理者入力シート!$B$14=2,BM15*管理者用人口入力シート!AO$7))</f>
        <v>4.60639095749357</v>
      </c>
      <c r="BO18" s="9">
        <f>IF(管理者入力シート!$B$14=1,BN15*管理者用人口入力シート!AP$3,IF(管理者入力シート!$B$14=2,BN15*管理者用人口入力シート!AP$7))</f>
        <v>2.5783294014329439</v>
      </c>
      <c r="BP18" s="9">
        <f>IF(管理者入力シート!$B$14=1,BO15*管理者用人口入力シート!AQ$3,IF(管理者入力シート!$B$14=2,BO15*管理者用人口入力シート!AQ$7))</f>
        <v>1.5859011978362254</v>
      </c>
      <c r="BQ18" s="9">
        <f>IF(管理者入力シート!$B$14=1,BP15*管理者用人口入力シート!AR$3,IF(管理者入力シート!$B$14=2,BP15*管理者用人口入力シート!AR$7))</f>
        <v>1.3950071004272138</v>
      </c>
      <c r="BR18" s="9">
        <f>IF(管理者入力シート!$B$14=1,BQ15*管理者用人口入力シート!AS$3,IF(管理者入力シート!$B$14=2,BQ15*管理者用人口入力シート!AS$7))</f>
        <v>2.8583183942660964</v>
      </c>
      <c r="BS18" s="9">
        <f>IF(管理者入力シート!$B$14=1,BR15*管理者用人口入力シート!AT$3,IF(管理者入力シート!$B$14=2,BR15*管理者用人口入力シート!AT$7))</f>
        <v>4.1289715595188135</v>
      </c>
      <c r="BT18" s="9">
        <f>IF(管理者入力シート!$B$14=1,BS15*管理者用人口入力シート!AU$3,IF(管理者入力シート!$B$14=2,BS15*管理者用人口入力シート!AU$7))</f>
        <v>2.491196621316873</v>
      </c>
      <c r="BU18" s="9">
        <f>IF(管理者入力シート!$B$14=1,BT15*管理者用人口入力シート!AV$3,IF(管理者入力シート!$B$14=2,BT15*管理者用人口入力シート!AV$7))</f>
        <v>2.7730425133188761</v>
      </c>
      <c r="BV18" s="9">
        <f>IF(管理者入力シート!$B$14=1,BU15*管理者用人口入力シート!AW$3,IF(管理者入力シート!$B$14=2,BU15*管理者用人口入力シート!AW$7))</f>
        <v>5.8887114954736131</v>
      </c>
      <c r="BW18" s="9">
        <f>IF(管理者入力シート!$B$14=1,BV15*管理者用人口入力シート!AX$3,IF(管理者入力シート!$B$14=2,BV15*管理者用人口入力シート!AX$7))</f>
        <v>4.0878270108126724</v>
      </c>
      <c r="BX18" s="9">
        <f>IF(管理者入力シート!$B$14=1,BW15*管理者用人口入力シート!AY$3,IF(管理者入力シート!$B$14=2,BW15*管理者用人口入力シート!AY$7))</f>
        <v>19.854852375557037</v>
      </c>
      <c r="BY18" s="9">
        <f>IF(管理者入力シート!$B$14=1,BX15*管理者用人口入力シート!AZ$3,IF(管理者入力シート!$B$14=2,BX15*管理者用人口入力シート!AZ$7))</f>
        <v>12.511350356132137</v>
      </c>
      <c r="BZ18" s="9">
        <f>IF(管理者入力シート!$B$14=1,BY15*管理者用人口入力シート!BA$3,IF(管理者入力シート!$B$14=2,BY15*管理者用人口入力シート!BA$7))</f>
        <v>18.299608620833283</v>
      </c>
      <c r="CA18" s="9">
        <f>IF(管理者入力シート!$B$14=1,BZ15*管理者用人口入力シート!BB$3,IF(管理者入力シート!$B$14=2,BZ15*管理者用人口入力シート!BB$7))</f>
        <v>12.742834057611352</v>
      </c>
      <c r="CB18" s="9">
        <f>IF(管理者入力シート!$B$14=1,CA15*管理者用人口入力シート!BC$3,IF(管理者入力シート!$B$14=2,CA15*管理者用人口入力シート!BC$7))</f>
        <v>10.003743018364831</v>
      </c>
      <c r="CC18" s="9">
        <f>IF(管理者入力シート!$B$14=1,CB15*管理者用人口入力シート!BD$3,IF(管理者入力シート!$B$14=2,CB15*管理者用人口入力シート!BD$7))</f>
        <v>4.2551270375990082</v>
      </c>
      <c r="CD18" s="9">
        <f>IF(管理者入力シート!$B$14=1,CC15*管理者用人口入力シート!BE$3,IF(管理者入力シート!$B$14=2,CC15*管理者用人口入力シート!BE$7))</f>
        <v>8.534980929732619E-2</v>
      </c>
      <c r="CE18" s="9">
        <f>IF(管理者入力シート!$B$14=1,CD15*管理者用人口入力シート!BF$3,IF(管理者入力シート!$B$14=2,CD15*管理者用人口入力シート!BF$7))</f>
        <v>1.0672442168468788E-4</v>
      </c>
      <c r="CF18" s="9">
        <f t="shared" si="252"/>
        <v>126.20175512869605</v>
      </c>
      <c r="CG18" s="9">
        <f t="shared" si="253"/>
        <v>7.1162860909782859</v>
      </c>
      <c r="CH18" s="9">
        <f t="shared" si="254"/>
        <v>3.4735130163480843</v>
      </c>
      <c r="CI18" s="9">
        <f t="shared" si="255"/>
        <v>77.752971999816666</v>
      </c>
      <c r="CJ18" s="9">
        <f t="shared" si="256"/>
        <v>45.386769268127487</v>
      </c>
      <c r="CK18" s="13">
        <f t="shared" si="257"/>
        <v>0.61610055993695934</v>
      </c>
      <c r="CL18" s="13">
        <f t="shared" si="258"/>
        <v>0.3596365931824298</v>
      </c>
      <c r="CM18" s="9">
        <f t="shared" si="259"/>
        <v>8.4175560939624798</v>
      </c>
      <c r="CO18" s="7" t="str">
        <f t="shared" si="26"/>
        <v>2050_1</v>
      </c>
      <c r="CP18" s="28">
        <f>管理者入力シート!B13</f>
        <v>2050</v>
      </c>
      <c r="CQ18" s="3" t="s">
        <v>21</v>
      </c>
      <c r="CR18" s="9">
        <f>DT19*$AK$13+将来予測シート②!$G17</f>
        <v>6.8332297998467384</v>
      </c>
      <c r="CS18" s="9">
        <f>IF(管理者入力シート!$B$14=1,CR15*管理者用人口入力シート!AM$3,IF(管理者入力シート!$B$14=2,CR15*管理者用人口入力シート!AM$7))+将来予測シート②!$G18</f>
        <v>8.3500404816136555</v>
      </c>
      <c r="CT18" s="9">
        <f>IF(管理者入力シート!$B$14=1,CS15*管理者用人口入力シート!AN$3,IF(管理者入力シート!$B$14=2,CS15*管理者用人口入力シート!AN$7))+将来予測シート②!$G19</f>
        <v>10.405172337573074</v>
      </c>
      <c r="CU18" s="9">
        <f>IF(管理者入力シート!$B$14=1,CT15*管理者用人口入力シート!AO$3,IF(管理者入力シート!$B$14=2,CT15*管理者用人口入力シート!AO$7))+将来予測シート②!$G20</f>
        <v>7.2755135136920401</v>
      </c>
      <c r="CV18" s="9">
        <f>IF(管理者入力シート!$B$14=1,CU15*管理者用人口入力シート!AP$3,IF(管理者入力シート!$B$14=2,CU15*管理者用人口入力シート!AP$7))+将来予測シート②!$G21</f>
        <v>3.7592764118841391</v>
      </c>
      <c r="CW18" s="9">
        <f>IF(管理者入力シート!$B$14=1,CV15*管理者用人口入力シート!AQ$3,IF(管理者入力シート!$B$14=2,CV15*管理者用人口入力シート!AQ$7))+将来予測シート②!$G22</f>
        <v>4.102080535037528</v>
      </c>
      <c r="CX18" s="9">
        <f>IF(管理者入力シート!$B$14=1,CW15*管理者用人口入力シート!AR$3,IF(管理者入力シート!$B$14=2,CW15*管理者用人口入力シート!AR$7))+将来予測シート②!$G23</f>
        <v>2.8600165668632496</v>
      </c>
      <c r="CY18" s="9">
        <f>IF(管理者入力シート!$B$14=1,CX15*管理者用人口入力シート!AS$3,IF(管理者入力シート!$B$14=2,CX15*管理者用人口入力シート!AS$7))+将来予測シート②!$G24</f>
        <v>4.4794490415640906</v>
      </c>
      <c r="CZ18" s="9">
        <f>IF(管理者入力シート!$B$14=1,CY15*管理者用人口入力シート!AT$3,IF(管理者入力シート!$B$14=2,CY15*管理者用人口入力シート!AT$7))+将来予測シート②!$G25</f>
        <v>6.151571146908541</v>
      </c>
      <c r="DA18" s="9">
        <f>IF(管理者入力シート!$B$14=1,CZ15*管理者用人口入力シート!AU$3,IF(管理者入力シート!$B$14=2,CZ15*管理者用人口入力シート!AU$7))+将来予測シート②!$G26</f>
        <v>4.472931398544322</v>
      </c>
      <c r="DB18" s="9">
        <f>IF(管理者入力シート!$B$14=1,DA15*管理者用人口入力シート!AV$3,IF(管理者入力シート!$B$14=2,DA15*管理者用人口入力シート!AV$7))+将来予測シート②!$G27</f>
        <v>4.6770317005714785</v>
      </c>
      <c r="DC18" s="9">
        <f>IF(管理者入力シート!$B$14=1,DB15*管理者用人口入力シート!AW$3,IF(管理者入力シート!$B$14=2,DB15*管理者用人口入力シート!AW$7))+将来予測シート②!$G28</f>
        <v>5.8887114954736131</v>
      </c>
      <c r="DD18" s="9">
        <f>IF(管理者入力シート!$B$14=1,DC15*管理者用人口入力シート!AX$3,IF(管理者入力シート!$B$14=2,DC15*管理者用人口入力シート!AX$7))+将来予測シート②!$G29</f>
        <v>4.0878270108126724</v>
      </c>
      <c r="DE18" s="9">
        <f>IF(管理者入力シート!$B$14=1,DD15*管理者用人口入力シート!AY$3,IF(管理者入力シート!$B$14=2,DD15*管理者用人口入力シート!AY$7))</f>
        <v>19.854852375557037</v>
      </c>
      <c r="DF18" s="9">
        <f>IF(管理者入力シート!$B$14=1,DE15*管理者用人口入力シート!AZ$3,IF(管理者入力シート!$B$14=2,DE15*管理者用人口入力シート!AZ$7))</f>
        <v>12.511350356132137</v>
      </c>
      <c r="DG18" s="9">
        <f>IF(管理者入力シート!$B$14=1,DF15*管理者用人口入力シート!BA$3,IF(管理者入力シート!$B$14=2,DF15*管理者用人口入力シート!BA$7))</f>
        <v>18.299608620833283</v>
      </c>
      <c r="DH18" s="9">
        <f>IF(管理者入力シート!$B$14=1,DG15*管理者用人口入力シート!BB$3,IF(管理者入力シート!$B$14=2,DG15*管理者用人口入力シート!BB$7))</f>
        <v>12.742834057611352</v>
      </c>
      <c r="DI18" s="9">
        <f>IF(管理者入力シート!$B$14=1,DH15*管理者用人口入力シート!BC$3,IF(管理者入力シート!$B$14=2,DH15*管理者用人口入力シート!BC$7))</f>
        <v>10.003743018364831</v>
      </c>
      <c r="DJ18" s="9">
        <f>IF(管理者入力シート!$B$14=1,DI15*管理者用人口入力シート!BD$3,IF(管理者入力シート!$B$14=2,DI15*管理者用人口入力シート!BD$7))</f>
        <v>4.2551270375990082</v>
      </c>
      <c r="DK18" s="9">
        <f>IF(管理者入力シート!$B$14=1,DJ15*管理者用人口入力シート!BE$3,IF(管理者入力シート!$B$14=2,DJ15*管理者用人口入力シート!BE$7))</f>
        <v>8.534980929732619E-2</v>
      </c>
      <c r="DL18" s="9">
        <f>IF(管理者入力シート!$B$14=1,DK15*管理者用人口入力シート!BF$3,IF(管理者入力シート!$B$14=2,DK15*管理者用人口入力シート!BF$7))</f>
        <v>1.0672442168468788E-4</v>
      </c>
      <c r="DM18" s="9">
        <f t="shared" si="260"/>
        <v>151.09582344020183</v>
      </c>
      <c r="DN18" s="9">
        <f t="shared" si="261"/>
        <v>11.253127691512038</v>
      </c>
      <c r="DO18" s="9">
        <f t="shared" si="262"/>
        <v>5.6171716377676377</v>
      </c>
      <c r="DP18" s="9">
        <f t="shared" si="263"/>
        <v>77.752971999816666</v>
      </c>
      <c r="DQ18" s="9">
        <f t="shared" si="264"/>
        <v>45.386769268127487</v>
      </c>
      <c r="DR18" s="13">
        <f t="shared" si="265"/>
        <v>0.51459378710483306</v>
      </c>
      <c r="DS18" s="13">
        <f t="shared" si="266"/>
        <v>0.30038400952948846</v>
      </c>
      <c r="DT18" s="9">
        <f t="shared" si="267"/>
        <v>15.200822555349006</v>
      </c>
      <c r="DX18" s="307">
        <f>DX1</f>
        <v>7</v>
      </c>
      <c r="DY18" s="308"/>
      <c r="DZ18" s="311" t="s">
        <v>0</v>
      </c>
      <c r="EA18" s="311" t="s">
        <v>1</v>
      </c>
      <c r="EB18" s="311" t="s">
        <v>2</v>
      </c>
      <c r="EC18" s="311" t="s">
        <v>3</v>
      </c>
      <c r="ED18" s="311" t="s">
        <v>4</v>
      </c>
      <c r="EE18" s="311" t="s">
        <v>5</v>
      </c>
      <c r="EF18" s="311" t="s">
        <v>6</v>
      </c>
      <c r="EG18" s="311" t="s">
        <v>7</v>
      </c>
      <c r="EH18" s="311" t="s">
        <v>8</v>
      </c>
      <c r="EI18" s="311" t="s">
        <v>9</v>
      </c>
      <c r="EJ18" s="311" t="s">
        <v>10</v>
      </c>
      <c r="EK18" s="311" t="s">
        <v>11</v>
      </c>
      <c r="EL18" s="311" t="s">
        <v>12</v>
      </c>
      <c r="EM18" s="311" t="s">
        <v>13</v>
      </c>
      <c r="EN18" s="311" t="s">
        <v>14</v>
      </c>
      <c r="EO18" s="311" t="s">
        <v>15</v>
      </c>
      <c r="EP18" s="311" t="s">
        <v>16</v>
      </c>
      <c r="EQ18" s="311" t="s">
        <v>17</v>
      </c>
      <c r="ER18" s="311" t="s">
        <v>18</v>
      </c>
      <c r="ES18" s="311" t="s">
        <v>19</v>
      </c>
      <c r="ET18" s="311" t="s">
        <v>20</v>
      </c>
      <c r="EU18" s="311" t="s">
        <v>23</v>
      </c>
      <c r="EV18" s="312" t="s">
        <v>50</v>
      </c>
      <c r="EW18" s="312" t="s">
        <v>51</v>
      </c>
      <c r="EX18" s="313" t="s">
        <v>79</v>
      </c>
      <c r="EY18" s="313" t="s">
        <v>80</v>
      </c>
      <c r="EZ18" s="312" t="s">
        <v>48</v>
      </c>
      <c r="FA18" s="312" t="s">
        <v>49</v>
      </c>
      <c r="FB18" s="312" t="s">
        <v>97</v>
      </c>
    </row>
    <row r="19" spans="1:158" x14ac:dyDescent="0.15">
      <c r="A19" s="7" t="str">
        <f t="shared" si="270"/>
        <v>2030_2</v>
      </c>
      <c r="B19" s="29">
        <v>2030</v>
      </c>
      <c r="C19" s="4" t="s">
        <v>22</v>
      </c>
      <c r="D19" s="4"/>
      <c r="E19" s="4"/>
      <c r="F19" s="4"/>
      <c r="G19" s="4"/>
      <c r="H19" s="4"/>
      <c r="I19" s="4"/>
      <c r="J19" s="4"/>
      <c r="K19" s="4"/>
      <c r="L19" s="4"/>
      <c r="M19" s="4"/>
      <c r="N19" s="4"/>
      <c r="O19" s="4"/>
      <c r="P19" s="4"/>
      <c r="Q19" s="4"/>
      <c r="R19" s="4"/>
      <c r="S19" s="4"/>
      <c r="T19" s="4"/>
      <c r="U19" s="4"/>
      <c r="V19" s="4"/>
      <c r="W19" s="4"/>
      <c r="X19" s="4"/>
      <c r="Y19" s="10">
        <f>SUM(D19:X19)</f>
        <v>0</v>
      </c>
      <c r="Z19" s="10">
        <f>E19*3/5+F19*3/5</f>
        <v>0</v>
      </c>
      <c r="AA19" s="10">
        <f>F19*2/5+G19*1/5</f>
        <v>0</v>
      </c>
      <c r="AB19" s="10">
        <f t="shared" si="0"/>
        <v>0</v>
      </c>
      <c r="AC19" s="10">
        <f>SUM(S19:X19)</f>
        <v>0</v>
      </c>
      <c r="AD19" s="14" t="e">
        <f>AB19/Y19</f>
        <v>#DIV/0!</v>
      </c>
      <c r="AE19" s="14" t="e">
        <f>AC19/Y19</f>
        <v>#DIV/0!</v>
      </c>
      <c r="AF19" s="10">
        <f t="shared" si="17"/>
        <v>0</v>
      </c>
      <c r="BH19" s="7" t="str">
        <f t="shared" si="19"/>
        <v>2050_2</v>
      </c>
      <c r="BI19" s="29">
        <f>BI18</f>
        <v>2050</v>
      </c>
      <c r="BJ19" s="4" t="s">
        <v>22</v>
      </c>
      <c r="BK19" s="10">
        <f>CM19*$AK$14</f>
        <v>9.5876801341379334</v>
      </c>
      <c r="BL19" s="10">
        <f>IF(管理者入力シート!$B$14=1,BK16*管理者用人口入力シート!AM$4,IF(管理者入力シート!$B$14=2,BK16*管理者用人口入力シート!AM$8))</f>
        <v>10.318291251474855</v>
      </c>
      <c r="BM19" s="10">
        <f>IF(管理者入力シート!$B$14=1,BL16*管理者用人口入力シート!AN$4,IF(管理者入力シート!$B$14=2,BL16*管理者用人口入力シート!AN$8))</f>
        <v>9.2902804401754384</v>
      </c>
      <c r="BN19" s="10">
        <f>IF(管理者入力シート!$B$14=1,BM16*管理者用人口入力シート!AO$4,IF(管理者入力シート!$B$14=2,BM16*管理者用人口入力シート!AO$8))</f>
        <v>10.561936214711352</v>
      </c>
      <c r="BO19" s="10">
        <f>IF(管理者入力シート!$B$14=1,BN16*管理者用人口入力シート!AP$4,IF(管理者入力シート!$B$14=2,BN16*管理者用人口入力シート!AP$8))</f>
        <v>7.2140932632247159</v>
      </c>
      <c r="BP19" s="10">
        <f>IF(管理者入力シート!$B$14=1,BO16*管理者用人口入力シート!AQ$4,IF(管理者入力シート!$B$14=2,BO16*管理者用人口入力シート!AQ$8))</f>
        <v>5.6969762904148213</v>
      </c>
      <c r="BQ19" s="10">
        <f>IF(管理者入力シート!$B$14=1,BP16*管理者用人口入力シート!AR$4,IF(管理者入力シート!$B$14=2,BP16*管理者用人口入力シート!AR$8))</f>
        <v>5.6933361980942658</v>
      </c>
      <c r="BR19" s="10">
        <f>IF(管理者入力シート!$B$14=1,BQ16*管理者用人口入力シート!AS$4,IF(管理者入力シート!$B$14=2,BQ16*管理者用人口入力シート!AS$8))</f>
        <v>7.1624846087618925</v>
      </c>
      <c r="BS19" s="10">
        <f>IF(管理者入力シート!$B$14=1,BR16*管理者用人口入力シート!AT$4,IF(管理者入力シート!$B$14=2,BR16*管理者用人口入力シート!AT$8))</f>
        <v>7.5762740271921274</v>
      </c>
      <c r="BT19" s="10">
        <f>IF(管理者入力シート!$B$14=1,BS16*管理者用人口入力シート!AU$4,IF(管理者入力シート!$B$14=2,BS16*管理者用人口入力シート!AU$8))</f>
        <v>6.2819145642777867</v>
      </c>
      <c r="BU19" s="10">
        <f>IF(管理者入力シート!$B$14=1,BT16*管理者用人口入力シート!AV$4,IF(管理者入力シート!$B$14=2,BT16*管理者用人口入力シート!AV$8))</f>
        <v>10.043626333048648</v>
      </c>
      <c r="BV19" s="10">
        <f>IF(管理者入力シート!$B$14=1,BU16*管理者用人口入力シート!AW$4,IF(管理者入力シート!$B$14=2,BU16*管理者用人口入力シート!AW$8))</f>
        <v>7.8993670632526003</v>
      </c>
      <c r="BW19" s="10">
        <f>IF(管理者入力シート!$B$14=1,BV16*管理者用人口入力シート!AX$4,IF(管理者入力シート!$B$14=2,BV16*管理者用人口入力シート!AX$8))</f>
        <v>9.232705840806215</v>
      </c>
      <c r="BX19" s="10">
        <f>IF(管理者入力シート!$B$14=1,BW16*管理者用人口入力シート!AY$4,IF(管理者入力シート!$B$14=2,BW16*管理者用人口入力シート!AY$8))</f>
        <v>16.825636416383386</v>
      </c>
      <c r="BY19" s="10">
        <f>IF(管理者入力シート!$B$14=1,BX16*管理者用人口入力シート!AZ$4,IF(管理者入力シート!$B$14=2,BX16*管理者用人口入力シート!AZ$8))</f>
        <v>12.96025670919577</v>
      </c>
      <c r="BZ19" s="10">
        <f>IF(管理者入力シート!$B$14=1,BY16*管理者用人口入力シート!BA$4,IF(管理者入力シート!$B$14=2,BY16*管理者用人口入力シート!BA$8))</f>
        <v>21.632062805361553</v>
      </c>
      <c r="CA19" s="10">
        <f>IF(管理者入力シート!$B$14=1,BZ16*管理者用人口入力シート!BB$4,IF(管理者入力シート!$B$14=2,BZ16*管理者用人口入力シート!BB$8))</f>
        <v>17.219024368962895</v>
      </c>
      <c r="CB19" s="10">
        <f>IF(管理者入力シート!$B$14=1,CA16*管理者用人口入力シート!BC$4,IF(管理者入力シート!$B$14=2,CA16*管理者用人口入力シート!BC$8))</f>
        <v>14.304967494646728</v>
      </c>
      <c r="CC19" s="10">
        <f>IF(管理者入力シート!$B$14=1,CB16*管理者用人口入力シート!BD$4,IF(管理者入力シート!$B$14=2,CB16*管理者用人口入力シート!BD$8))</f>
        <v>9.1757208494112277</v>
      </c>
      <c r="CD19" s="10">
        <f>IF(管理者入力シート!$B$14=1,CC16*管理者用人口入力シート!BE$4,IF(管理者入力シート!$B$14=2,CC16*管理者用人口入力シート!BE$8))</f>
        <v>3.1058858903328264</v>
      </c>
      <c r="CE19" s="10">
        <f>IF(管理者入力シート!$B$14=1,CD16*管理者用人口入力シート!BF$4,IF(管理者入力シート!$B$14=2,CD16*管理者用人口入力シート!BF$8))</f>
        <v>3.2248704950950408E-3</v>
      </c>
      <c r="CF19" s="10">
        <f t="shared" si="252"/>
        <v>201.78574563436212</v>
      </c>
      <c r="CG19" s="10">
        <f t="shared" si="253"/>
        <v>11.765143014990176</v>
      </c>
      <c r="CH19" s="10">
        <f t="shared" si="254"/>
        <v>5.8284994190124451</v>
      </c>
      <c r="CI19" s="10">
        <f t="shared" si="255"/>
        <v>95.226779404789482</v>
      </c>
      <c r="CJ19" s="10">
        <f t="shared" si="256"/>
        <v>65.440886279210318</v>
      </c>
      <c r="CK19" s="14">
        <f t="shared" si="257"/>
        <v>0.47192024939829696</v>
      </c>
      <c r="CL19" s="14">
        <f t="shared" si="258"/>
        <v>0.32430876657556323</v>
      </c>
      <c r="CM19" s="10">
        <f t="shared" si="259"/>
        <v>25.766890360495697</v>
      </c>
      <c r="CO19" s="7" t="str">
        <f t="shared" si="26"/>
        <v>2050_2</v>
      </c>
      <c r="CP19" s="29">
        <f>CP18</f>
        <v>2050</v>
      </c>
      <c r="CQ19" s="4" t="s">
        <v>22</v>
      </c>
      <c r="CR19" s="10">
        <f>DT19*$AK$14+将来予測シート②!$H17</f>
        <v>14.333096685363973</v>
      </c>
      <c r="CS19" s="10">
        <f>IF(管理者入力シート!$B$14=1,CR16*管理者用人口入力シート!AM$4,IF(管理者入力シート!$B$14=2,CR16*管理者用人口入力シート!AM$8))+将来予測シート②!$H18</f>
        <v>14.415160174519558</v>
      </c>
      <c r="CT19" s="10">
        <f>IF(管理者入力シート!$B$14=1,CS16*管理者用人口入力シート!AN$4,IF(管理者入力シート!$B$14=2,CS16*管理者用人口入力シート!AN$8))+将来予測シート②!$H19</f>
        <v>13.545802492759153</v>
      </c>
      <c r="CU19" s="10">
        <f>IF(管理者入力シート!$B$14=1,CT16*管理者用人口入力シート!AO$4,IF(管理者入力シート!$B$14=2,CT16*管理者用人口入力シート!AO$8))+将来予測シート②!$H20</f>
        <v>14.954410708958212</v>
      </c>
      <c r="CV19" s="10">
        <f>IF(管理者入力シート!$B$14=1,CU16*管理者用人口入力シート!AP$4,IF(管理者入力シート!$B$14=2,CU16*管理者用人口入力シート!AP$8))+将来予測シート②!$H21</f>
        <v>9.3811548260933897</v>
      </c>
      <c r="CW19" s="10">
        <f>IF(管理者入力シート!$B$14=1,CV16*管理者用人口入力シート!AQ$4,IF(管理者入力シート!$B$14=2,CV16*管理者用人口入力シート!AQ$8))+将来予測シート②!$H22</f>
        <v>8.7006552654393587</v>
      </c>
      <c r="CX19" s="10">
        <f>IF(管理者入力シート!$B$14=1,CW16*管理者用人口入力シート!AR$4,IF(管理者入力シート!$B$14=2,CW16*管理者用人口入力シート!AR$8))+将来予測シート②!$H23</f>
        <v>7.5946747698519035</v>
      </c>
      <c r="CY19" s="10">
        <f>IF(管理者入力シート!$B$14=1,CX16*管理者用人口入力シート!AS$4,IF(管理者入力シート!$B$14=2,CX16*管理者用人口入力シート!AS$8))+将来予測シート②!$H24</f>
        <v>10.156212480531025</v>
      </c>
      <c r="CZ19" s="10">
        <f>IF(管理者入力シート!$B$14=1,CY16*管理者用人口入力シート!AT$4,IF(管理者入力シート!$B$14=2,CY16*管理者用人口入力シート!AT$8))+将来予測シート②!$H25</f>
        <v>10.958022811746718</v>
      </c>
      <c r="DA19" s="10">
        <f>IF(管理者入力シート!$B$14=1,CZ16*管理者用人口入力シート!AU$4,IF(管理者入力シート!$B$14=2,CZ16*管理者用人口入力シート!AU$8))+将来予測シート②!$H26</f>
        <v>9.3011580780849687</v>
      </c>
      <c r="DB19" s="10">
        <f>IF(管理者入力シート!$B$14=1,DA16*管理者用人口入力シート!AV$4,IF(管理者入力シート!$B$14=2,DA16*管理者用人口入力シート!AV$8))+将来予測シート②!$H27</f>
        <v>13.221288416279037</v>
      </c>
      <c r="DC19" s="10">
        <f>IF(管理者入力シート!$B$14=1,DB16*管理者用人口入力シート!AW$4,IF(管理者入力シート!$B$14=2,DB16*管理者用人口入力シート!AW$8))+将来予測シート②!$H28</f>
        <v>8.7285232608414507</v>
      </c>
      <c r="DD19" s="10">
        <f>IF(管理者入力シート!$B$14=1,DC16*管理者用人口入力シート!AX$4,IF(管理者入力シート!$B$14=2,DC16*管理者用人口入力シート!AX$8))+将来予測シート②!$H29</f>
        <v>10.203714153261441</v>
      </c>
      <c r="DE19" s="10">
        <f>IF(管理者入力シート!$B$14=1,DD16*管理者用人口入力シート!AY$4,IF(管理者入力シート!$B$14=2,DD16*管理者用人口入力シート!AY$8))</f>
        <v>17.809014760172264</v>
      </c>
      <c r="DF19" s="10">
        <f>IF(管理者入力シート!$B$14=1,DE16*管理者用人口入力シート!AZ$4,IF(管理者入力シート!$B$14=2,DE16*管理者用人口入力シート!AZ$8))</f>
        <v>12.96025670919577</v>
      </c>
      <c r="DG19" s="10">
        <f>IF(管理者入力シート!$B$14=1,DF16*管理者用人口入力シート!BA$4,IF(管理者入力シート!$B$14=2,DF16*管理者用人口入力シート!BA$8))</f>
        <v>21.632062805361553</v>
      </c>
      <c r="DH19" s="10">
        <f>IF(管理者入力シート!$B$14=1,DG16*管理者用人口入力シート!BB$4,IF(管理者入力シート!$B$14=2,DG16*管理者用人口入力シート!BB$8))</f>
        <v>17.219024368962895</v>
      </c>
      <c r="DI19" s="10">
        <f>IF(管理者入力シート!$B$14=1,DH16*管理者用人口入力シート!BC$4,IF(管理者入力シート!$B$14=2,DH16*管理者用人口入力シート!BC$8))</f>
        <v>14.304967494646728</v>
      </c>
      <c r="DJ19" s="10">
        <f>IF(管理者入力シート!$B$14=1,DI16*管理者用人口入力シート!BD$4,IF(管理者入力シート!$B$14=2,DI16*管理者用人口入力シート!BD$8))</f>
        <v>9.1757208494112277</v>
      </c>
      <c r="DK19" s="10">
        <f>IF(管理者入力シート!$B$14=1,DJ16*管理者用人口入力シート!BE$4,IF(管理者入力シート!$B$14=2,DJ16*管理者用人口入力シート!BE$8))</f>
        <v>3.1058858903328264</v>
      </c>
      <c r="DL19" s="10">
        <f>IF(管理者入力シート!$B$14=1,DK16*管理者用人口入力シート!BF$4,IF(管理者入力シート!$B$14=2,DK16*管理者用人口入力シート!BF$8))</f>
        <v>3.2248704950950408E-3</v>
      </c>
      <c r="DM19" s="10">
        <f t="shared" si="260"/>
        <v>241.70403187230852</v>
      </c>
      <c r="DN19" s="10">
        <f t="shared" si="261"/>
        <v>16.776577600367226</v>
      </c>
      <c r="DO19" s="10">
        <f t="shared" si="262"/>
        <v>8.4092031388953039</v>
      </c>
      <c r="DP19" s="10">
        <f t="shared" si="263"/>
        <v>96.210157748578354</v>
      </c>
      <c r="DQ19" s="10">
        <f t="shared" si="264"/>
        <v>65.440886279210318</v>
      </c>
      <c r="DR19" s="14">
        <f t="shared" si="265"/>
        <v>0.39804945330579294</v>
      </c>
      <c r="DS19" s="14">
        <f t="shared" si="266"/>
        <v>0.27074801265120202</v>
      </c>
      <c r="DT19" s="10">
        <f t="shared" si="267"/>
        <v>35.832697341915676</v>
      </c>
      <c r="DX19" s="309"/>
      <c r="DY19" s="310"/>
      <c r="DZ19" s="311"/>
      <c r="EA19" s="311"/>
      <c r="EB19" s="311"/>
      <c r="EC19" s="311"/>
      <c r="ED19" s="311"/>
      <c r="EE19" s="311"/>
      <c r="EF19" s="311"/>
      <c r="EG19" s="311"/>
      <c r="EH19" s="311"/>
      <c r="EI19" s="311"/>
      <c r="EJ19" s="311"/>
      <c r="EK19" s="311"/>
      <c r="EL19" s="311"/>
      <c r="EM19" s="311"/>
      <c r="EN19" s="311"/>
      <c r="EO19" s="311"/>
      <c r="EP19" s="311"/>
      <c r="EQ19" s="311"/>
      <c r="ER19" s="311"/>
      <c r="ES19" s="311"/>
      <c r="ET19" s="311"/>
      <c r="EU19" s="311"/>
      <c r="EV19" s="312"/>
      <c r="EW19" s="312"/>
      <c r="EX19" s="314"/>
      <c r="EY19" s="314"/>
      <c r="EZ19" s="312"/>
      <c r="FA19" s="312"/>
      <c r="FB19" s="312"/>
    </row>
    <row r="20" spans="1:158" x14ac:dyDescent="0.15">
      <c r="A20" s="7" t="str">
        <f t="shared" si="270"/>
        <v>2030_3</v>
      </c>
      <c r="B20" s="30">
        <v>2030</v>
      </c>
      <c r="C20" s="5" t="s">
        <v>23</v>
      </c>
      <c r="D20" s="5"/>
      <c r="E20" s="5"/>
      <c r="F20" s="5"/>
      <c r="G20" s="5"/>
      <c r="H20" s="5"/>
      <c r="I20" s="5"/>
      <c r="J20" s="5"/>
      <c r="K20" s="5"/>
      <c r="L20" s="5"/>
      <c r="M20" s="5"/>
      <c r="N20" s="5"/>
      <c r="O20" s="5"/>
      <c r="P20" s="5"/>
      <c r="Q20" s="5"/>
      <c r="R20" s="5"/>
      <c r="S20" s="5"/>
      <c r="T20" s="5"/>
      <c r="U20" s="5"/>
      <c r="V20" s="5"/>
      <c r="W20" s="5"/>
      <c r="X20" s="5"/>
      <c r="Y20" s="11">
        <f>SUM(D20:X20)</f>
        <v>0</v>
      </c>
      <c r="Z20" s="11">
        <f t="shared" si="271"/>
        <v>0</v>
      </c>
      <c r="AA20" s="11">
        <f t="shared" si="272"/>
        <v>0</v>
      </c>
      <c r="AB20" s="11">
        <f t="shared" si="0"/>
        <v>0</v>
      </c>
      <c r="AC20" s="11">
        <f t="shared" si="273"/>
        <v>0</v>
      </c>
      <c r="AD20" s="15" t="e">
        <f t="shared" si="274"/>
        <v>#DIV/0!</v>
      </c>
      <c r="AE20" s="15" t="e">
        <f t="shared" si="275"/>
        <v>#DIV/0!</v>
      </c>
      <c r="AF20" s="11">
        <f t="shared" si="17"/>
        <v>0</v>
      </c>
      <c r="BH20" s="7" t="str">
        <f t="shared" si="19"/>
        <v>2050_3</v>
      </c>
      <c r="BI20" s="30">
        <f>BI19</f>
        <v>2050</v>
      </c>
      <c r="BJ20" s="5" t="s">
        <v>23</v>
      </c>
      <c r="BK20" s="16">
        <f>BK18+BK19</f>
        <v>13.782290192823279</v>
      </c>
      <c r="BL20" s="16">
        <f t="shared" ref="BL20:CE20" si="276">BL18+BL19</f>
        <v>15.798181007648573</v>
      </c>
      <c r="BM20" s="16">
        <f t="shared" si="276"/>
        <v>15.670867502298865</v>
      </c>
      <c r="BN20" s="16">
        <f t="shared" si="276"/>
        <v>15.168327172204922</v>
      </c>
      <c r="BO20" s="16">
        <f t="shared" si="276"/>
        <v>9.7924226646576606</v>
      </c>
      <c r="BP20" s="16">
        <f t="shared" si="276"/>
        <v>7.2828774882510467</v>
      </c>
      <c r="BQ20" s="16">
        <f t="shared" si="276"/>
        <v>7.0883432985214796</v>
      </c>
      <c r="BR20" s="16">
        <f t="shared" si="276"/>
        <v>10.020803003027989</v>
      </c>
      <c r="BS20" s="16">
        <f t="shared" si="276"/>
        <v>11.705245586710941</v>
      </c>
      <c r="BT20" s="16">
        <f t="shared" si="276"/>
        <v>8.7731111855946597</v>
      </c>
      <c r="BU20" s="16">
        <f t="shared" si="276"/>
        <v>12.816668846367524</v>
      </c>
      <c r="BV20" s="16">
        <f t="shared" si="276"/>
        <v>13.788078558726212</v>
      </c>
      <c r="BW20" s="16">
        <f t="shared" si="276"/>
        <v>13.320532851618887</v>
      </c>
      <c r="BX20" s="16">
        <f t="shared" si="276"/>
        <v>36.680488791940419</v>
      </c>
      <c r="BY20" s="16">
        <f t="shared" si="276"/>
        <v>25.471607065327909</v>
      </c>
      <c r="BZ20" s="16">
        <f t="shared" si="276"/>
        <v>39.931671426194839</v>
      </c>
      <c r="CA20" s="16">
        <f t="shared" si="276"/>
        <v>29.961858426574246</v>
      </c>
      <c r="CB20" s="16">
        <f t="shared" si="276"/>
        <v>24.308710513011562</v>
      </c>
      <c r="CC20" s="16">
        <f t="shared" si="276"/>
        <v>13.430847887010236</v>
      </c>
      <c r="CD20" s="16">
        <f t="shared" si="276"/>
        <v>3.1912356996301527</v>
      </c>
      <c r="CE20" s="16">
        <f t="shared" si="276"/>
        <v>3.3315949167797287E-3</v>
      </c>
      <c r="CF20" s="11">
        <f t="shared" si="252"/>
        <v>327.98750076305822</v>
      </c>
      <c r="CG20" s="11">
        <f t="shared" si="253"/>
        <v>18.881429105968465</v>
      </c>
      <c r="CH20" s="11">
        <f t="shared" si="254"/>
        <v>9.3020124353605311</v>
      </c>
      <c r="CI20" s="11">
        <f t="shared" si="255"/>
        <v>172.97975140460613</v>
      </c>
      <c r="CJ20" s="11">
        <f t="shared" si="256"/>
        <v>110.82765554733781</v>
      </c>
      <c r="CK20" s="15">
        <f t="shared" si="257"/>
        <v>0.52739738862661301</v>
      </c>
      <c r="CL20" s="15">
        <f t="shared" si="258"/>
        <v>0.33790207032127401</v>
      </c>
      <c r="CM20" s="11">
        <f t="shared" si="259"/>
        <v>34.184446454458175</v>
      </c>
      <c r="CO20" s="7" t="str">
        <f t="shared" si="26"/>
        <v>2050_3</v>
      </c>
      <c r="CP20" s="30">
        <f>CP19</f>
        <v>2050</v>
      </c>
      <c r="CQ20" s="5" t="s">
        <v>23</v>
      </c>
      <c r="CR20" s="16">
        <f>CR18+CR19</f>
        <v>21.16632648521071</v>
      </c>
      <c r="CS20" s="16">
        <f t="shared" ref="CS20:DL20" si="277">CS18+CS19</f>
        <v>22.765200656133214</v>
      </c>
      <c r="CT20" s="16">
        <f t="shared" si="277"/>
        <v>23.950974830332228</v>
      </c>
      <c r="CU20" s="16">
        <f t="shared" si="277"/>
        <v>22.229924222650254</v>
      </c>
      <c r="CV20" s="16">
        <f t="shared" si="277"/>
        <v>13.140431237977529</v>
      </c>
      <c r="CW20" s="16">
        <f t="shared" si="277"/>
        <v>12.802735800476887</v>
      </c>
      <c r="CX20" s="16">
        <f t="shared" si="277"/>
        <v>10.454691336715154</v>
      </c>
      <c r="CY20" s="16">
        <f t="shared" si="277"/>
        <v>14.635661522095116</v>
      </c>
      <c r="CZ20" s="16">
        <f t="shared" si="277"/>
        <v>17.10959395865526</v>
      </c>
      <c r="DA20" s="16">
        <f t="shared" si="277"/>
        <v>13.774089476629291</v>
      </c>
      <c r="DB20" s="16">
        <f t="shared" si="277"/>
        <v>17.898320116850517</v>
      </c>
      <c r="DC20" s="16">
        <f t="shared" si="277"/>
        <v>14.617234756315064</v>
      </c>
      <c r="DD20" s="16">
        <f t="shared" si="277"/>
        <v>14.291541164074113</v>
      </c>
      <c r="DE20" s="16">
        <f t="shared" si="277"/>
        <v>37.663867135729305</v>
      </c>
      <c r="DF20" s="16">
        <f t="shared" si="277"/>
        <v>25.471607065327909</v>
      </c>
      <c r="DG20" s="16">
        <f t="shared" si="277"/>
        <v>39.931671426194839</v>
      </c>
      <c r="DH20" s="16">
        <f t="shared" si="277"/>
        <v>29.961858426574246</v>
      </c>
      <c r="DI20" s="16">
        <f t="shared" si="277"/>
        <v>24.308710513011562</v>
      </c>
      <c r="DJ20" s="16">
        <f t="shared" si="277"/>
        <v>13.430847887010236</v>
      </c>
      <c r="DK20" s="16">
        <f t="shared" si="277"/>
        <v>3.1912356996301527</v>
      </c>
      <c r="DL20" s="16">
        <f t="shared" si="277"/>
        <v>3.3315949167797287E-3</v>
      </c>
      <c r="DM20" s="11">
        <f t="shared" si="260"/>
        <v>392.79985531251049</v>
      </c>
      <c r="DN20" s="11">
        <f t="shared" si="261"/>
        <v>28.029705291879264</v>
      </c>
      <c r="DO20" s="11">
        <f t="shared" si="262"/>
        <v>14.026374776662943</v>
      </c>
      <c r="DP20" s="11">
        <f t="shared" si="263"/>
        <v>173.963129748395</v>
      </c>
      <c r="DQ20" s="11">
        <f t="shared" si="264"/>
        <v>110.82765554733781</v>
      </c>
      <c r="DR20" s="15">
        <f t="shared" si="265"/>
        <v>0.44287982135327014</v>
      </c>
      <c r="DS20" s="15">
        <f t="shared" si="266"/>
        <v>0.28214790318383298</v>
      </c>
      <c r="DT20" s="11">
        <f t="shared" si="267"/>
        <v>51.033519897264682</v>
      </c>
      <c r="DX20" s="28">
        <f>DX3</f>
        <v>2025</v>
      </c>
      <c r="DY20" s="3" t="s">
        <v>21</v>
      </c>
      <c r="DZ20" s="9">
        <f t="shared" ref="DZ20:ET20" si="278">ROUND(DZ3,0)</f>
        <v>5</v>
      </c>
      <c r="EA20" s="9">
        <f t="shared" si="278"/>
        <v>9</v>
      </c>
      <c r="EB20" s="9">
        <f t="shared" si="278"/>
        <v>18</v>
      </c>
      <c r="EC20" s="9">
        <f t="shared" si="278"/>
        <v>13</v>
      </c>
      <c r="ED20" s="9">
        <f t="shared" si="278"/>
        <v>4</v>
      </c>
      <c r="EE20" s="9">
        <f t="shared" si="278"/>
        <v>10</v>
      </c>
      <c r="EF20" s="9">
        <f t="shared" si="278"/>
        <v>12</v>
      </c>
      <c r="EG20" s="9">
        <f t="shared" si="278"/>
        <v>10</v>
      </c>
      <c r="EH20" s="9">
        <f t="shared" si="278"/>
        <v>22</v>
      </c>
      <c r="EI20" s="9">
        <f t="shared" si="278"/>
        <v>15</v>
      </c>
      <c r="EJ20" s="9">
        <f t="shared" si="278"/>
        <v>23</v>
      </c>
      <c r="EK20" s="9">
        <f t="shared" si="278"/>
        <v>19</v>
      </c>
      <c r="EL20" s="9">
        <f t="shared" si="278"/>
        <v>24</v>
      </c>
      <c r="EM20" s="9">
        <f t="shared" si="278"/>
        <v>28</v>
      </c>
      <c r="EN20" s="9">
        <f t="shared" si="278"/>
        <v>29</v>
      </c>
      <c r="EO20" s="9">
        <f t="shared" si="278"/>
        <v>32</v>
      </c>
      <c r="EP20" s="9">
        <f t="shared" si="278"/>
        <v>17</v>
      </c>
      <c r="EQ20" s="9">
        <f t="shared" si="278"/>
        <v>13</v>
      </c>
      <c r="ER20" s="9">
        <f t="shared" si="278"/>
        <v>6</v>
      </c>
      <c r="ES20" s="9">
        <f t="shared" si="278"/>
        <v>0</v>
      </c>
      <c r="ET20" s="9">
        <f t="shared" si="278"/>
        <v>0</v>
      </c>
      <c r="EU20" s="9">
        <f t="shared" ref="EU20:EU21" si="279">SUM(DZ20:ET20)</f>
        <v>309</v>
      </c>
      <c r="EV20" s="9">
        <f>EA20*3/5+EB20*3/5</f>
        <v>16.200000000000003</v>
      </c>
      <c r="EW20" s="9">
        <f>EB20*2/5+EC20*1/5</f>
        <v>9.8000000000000007</v>
      </c>
      <c r="EX20" s="9">
        <f t="shared" ref="EX20:EX31" si="280">SUM(EM20:ET20)</f>
        <v>125</v>
      </c>
      <c r="EY20" s="9">
        <f>SUM(EO20:ET20)</f>
        <v>68</v>
      </c>
      <c r="EZ20" s="13">
        <f>EX20/EU20</f>
        <v>0.4045307443365696</v>
      </c>
      <c r="FA20" s="13">
        <f>EY20/EU20</f>
        <v>0.22006472491909385</v>
      </c>
      <c r="FB20" s="9">
        <f>SUM(ED20:EG20)</f>
        <v>36</v>
      </c>
    </row>
    <row r="21" spans="1:158" x14ac:dyDescent="0.15">
      <c r="B21" s="2" t="s">
        <v>245</v>
      </c>
      <c r="D21" s="2">
        <v>4</v>
      </c>
      <c r="E21" s="2">
        <v>5</v>
      </c>
      <c r="F21" s="2">
        <v>6</v>
      </c>
      <c r="G21" s="2">
        <v>7</v>
      </c>
      <c r="H21" s="2">
        <v>8</v>
      </c>
      <c r="I21" s="2">
        <v>9</v>
      </c>
      <c r="J21" s="2">
        <v>10</v>
      </c>
      <c r="K21" s="2">
        <v>11</v>
      </c>
      <c r="L21" s="2">
        <v>12</v>
      </c>
      <c r="M21" s="2">
        <v>13</v>
      </c>
      <c r="N21" s="2">
        <v>14</v>
      </c>
      <c r="O21" s="2">
        <v>15</v>
      </c>
      <c r="P21" s="2">
        <v>16</v>
      </c>
      <c r="Q21" s="2">
        <v>17</v>
      </c>
      <c r="R21" s="2">
        <v>18</v>
      </c>
      <c r="S21" s="2">
        <v>19</v>
      </c>
      <c r="T21" s="2">
        <v>20</v>
      </c>
      <c r="U21" s="2">
        <v>21</v>
      </c>
      <c r="V21" s="2">
        <v>22</v>
      </c>
      <c r="W21" s="2">
        <v>23</v>
      </c>
      <c r="X21" s="2">
        <v>24</v>
      </c>
      <c r="BI21" s="49"/>
      <c r="BJ21" s="46" t="s">
        <v>92</v>
      </c>
      <c r="BK21" s="50"/>
      <c r="BL21" s="50">
        <v>4</v>
      </c>
      <c r="BM21" s="50">
        <v>5</v>
      </c>
      <c r="BN21" s="50">
        <v>6</v>
      </c>
      <c r="BO21" s="50">
        <v>7</v>
      </c>
      <c r="BP21" s="50">
        <v>8</v>
      </c>
      <c r="BQ21" s="50">
        <v>9</v>
      </c>
      <c r="BR21" s="50">
        <v>10</v>
      </c>
      <c r="BS21" s="50">
        <v>11</v>
      </c>
      <c r="BT21" s="50">
        <v>12</v>
      </c>
      <c r="BU21" s="50">
        <v>13</v>
      </c>
      <c r="BV21" s="50">
        <v>14</v>
      </c>
      <c r="BW21" s="50">
        <v>15</v>
      </c>
      <c r="BX21" s="50">
        <v>16</v>
      </c>
      <c r="BY21" s="50">
        <v>17</v>
      </c>
      <c r="BZ21" s="50">
        <v>18</v>
      </c>
      <c r="CA21" s="50">
        <v>19</v>
      </c>
      <c r="CB21" s="50">
        <v>20</v>
      </c>
      <c r="CC21" s="50">
        <v>21</v>
      </c>
      <c r="CD21" s="50">
        <v>22</v>
      </c>
      <c r="CE21" s="50">
        <v>23</v>
      </c>
      <c r="CF21" s="51"/>
      <c r="CG21" s="51"/>
      <c r="CH21" s="51"/>
      <c r="CI21" s="51"/>
      <c r="CJ21" s="51"/>
      <c r="CK21" s="52"/>
      <c r="CL21" s="52"/>
      <c r="CM21" s="51"/>
      <c r="CP21" s="46"/>
      <c r="CQ21" s="50"/>
      <c r="CR21" s="50"/>
      <c r="CS21" s="50"/>
      <c r="CT21" s="50"/>
      <c r="CU21" s="50"/>
      <c r="CV21" s="50"/>
      <c r="CW21" s="50"/>
      <c r="CX21" s="50"/>
      <c r="CY21" s="50"/>
      <c r="CZ21" s="50"/>
      <c r="DA21" s="50"/>
      <c r="DB21" s="50"/>
      <c r="DC21" s="50"/>
      <c r="DD21" s="50"/>
      <c r="DE21" s="50"/>
      <c r="DF21" s="50"/>
      <c r="DG21" s="50"/>
      <c r="DH21" s="50"/>
      <c r="DI21" s="50"/>
      <c r="DJ21" s="50"/>
      <c r="DK21" s="50"/>
      <c r="DL21" s="50"/>
      <c r="DM21" s="51"/>
      <c r="DN21" s="51"/>
      <c r="DO21" s="51"/>
      <c r="DP21" s="51"/>
      <c r="DQ21" s="51"/>
      <c r="DR21" s="52"/>
      <c r="DS21" s="52"/>
      <c r="DT21" s="51"/>
      <c r="DX21" s="29">
        <f>DX20</f>
        <v>2025</v>
      </c>
      <c r="DY21" s="4" t="s">
        <v>22</v>
      </c>
      <c r="DZ21" s="10">
        <f t="shared" ref="DZ21:ET21" si="281">ROUND(DZ4,0)</f>
        <v>12</v>
      </c>
      <c r="EA21" s="10">
        <f t="shared" si="281"/>
        <v>16</v>
      </c>
      <c r="EB21" s="10">
        <f t="shared" si="281"/>
        <v>11</v>
      </c>
      <c r="EC21" s="10">
        <f t="shared" si="281"/>
        <v>13</v>
      </c>
      <c r="ED21" s="10">
        <f t="shared" si="281"/>
        <v>8</v>
      </c>
      <c r="EE21" s="10">
        <f t="shared" si="281"/>
        <v>16</v>
      </c>
      <c r="EF21" s="10">
        <f t="shared" si="281"/>
        <v>13</v>
      </c>
      <c r="EG21" s="10">
        <f t="shared" si="281"/>
        <v>16</v>
      </c>
      <c r="EH21" s="10">
        <f t="shared" si="281"/>
        <v>17</v>
      </c>
      <c r="EI21" s="10">
        <f t="shared" si="281"/>
        <v>12</v>
      </c>
      <c r="EJ21" s="10">
        <f t="shared" si="281"/>
        <v>23</v>
      </c>
      <c r="EK21" s="10">
        <f t="shared" si="281"/>
        <v>21</v>
      </c>
      <c r="EL21" s="10">
        <f t="shared" si="281"/>
        <v>27</v>
      </c>
      <c r="EM21" s="10">
        <f t="shared" si="281"/>
        <v>32</v>
      </c>
      <c r="EN21" s="10">
        <f t="shared" si="281"/>
        <v>39</v>
      </c>
      <c r="EO21" s="10">
        <f t="shared" si="281"/>
        <v>35</v>
      </c>
      <c r="EP21" s="10">
        <f t="shared" si="281"/>
        <v>25</v>
      </c>
      <c r="EQ21" s="10">
        <f t="shared" si="281"/>
        <v>18</v>
      </c>
      <c r="ER21" s="10">
        <f t="shared" si="281"/>
        <v>9</v>
      </c>
      <c r="ES21" s="10">
        <f t="shared" si="281"/>
        <v>3</v>
      </c>
      <c r="ET21" s="10">
        <f t="shared" si="281"/>
        <v>0</v>
      </c>
      <c r="EU21" s="10">
        <f t="shared" si="279"/>
        <v>366</v>
      </c>
      <c r="EV21" s="10">
        <f t="shared" ref="EV21:EV31" si="282">EA21*3/5+EB21*3/5</f>
        <v>16.2</v>
      </c>
      <c r="EW21" s="10">
        <f t="shared" ref="EW21:EW31" si="283">EB21*2/5+EC21*1/5</f>
        <v>7</v>
      </c>
      <c r="EX21" s="10">
        <f t="shared" si="280"/>
        <v>161</v>
      </c>
      <c r="EY21" s="10">
        <f t="shared" ref="EY21:EY31" si="284">SUM(EO21:ET21)</f>
        <v>90</v>
      </c>
      <c r="EZ21" s="14">
        <f t="shared" ref="EZ21:EZ31" si="285">EX21/EU21</f>
        <v>0.43989071038251365</v>
      </c>
      <c r="FA21" s="14">
        <f t="shared" ref="FA21:FA31" si="286">EY21/EU21</f>
        <v>0.24590163934426229</v>
      </c>
      <c r="FB21" s="10">
        <f>SUM(ED21:EG21)</f>
        <v>53</v>
      </c>
    </row>
    <row r="22" spans="1:158" x14ac:dyDescent="0.15">
      <c r="BI22" s="53"/>
      <c r="CF22" s="12"/>
      <c r="CG22" s="12"/>
      <c r="CH22" s="12"/>
      <c r="CI22" s="12"/>
      <c r="CJ22" s="12"/>
      <c r="CK22" s="54"/>
      <c r="CL22" s="54"/>
      <c r="CM22" s="12"/>
      <c r="CP22" s="53"/>
      <c r="DM22" s="12"/>
      <c r="DN22" s="12"/>
      <c r="DO22" s="12"/>
      <c r="DP22" s="12"/>
      <c r="DQ22" s="12"/>
      <c r="DR22" s="54"/>
      <c r="DS22" s="54"/>
      <c r="DT22" s="12"/>
      <c r="DX22" s="30">
        <f>DX21</f>
        <v>2025</v>
      </c>
      <c r="DY22" s="5" t="s">
        <v>23</v>
      </c>
      <c r="DZ22" s="16">
        <f>DZ20+DZ21</f>
        <v>17</v>
      </c>
      <c r="EA22" s="16">
        <f t="shared" ref="EA22:ET22" si="287">EA20+EA21</f>
        <v>25</v>
      </c>
      <c r="EB22" s="16">
        <f t="shared" si="287"/>
        <v>29</v>
      </c>
      <c r="EC22" s="16">
        <f t="shared" si="287"/>
        <v>26</v>
      </c>
      <c r="ED22" s="16">
        <f t="shared" si="287"/>
        <v>12</v>
      </c>
      <c r="EE22" s="16">
        <f t="shared" si="287"/>
        <v>26</v>
      </c>
      <c r="EF22" s="16">
        <f t="shared" si="287"/>
        <v>25</v>
      </c>
      <c r="EG22" s="16">
        <f t="shared" si="287"/>
        <v>26</v>
      </c>
      <c r="EH22" s="16">
        <f t="shared" si="287"/>
        <v>39</v>
      </c>
      <c r="EI22" s="16">
        <f t="shared" si="287"/>
        <v>27</v>
      </c>
      <c r="EJ22" s="16">
        <f t="shared" si="287"/>
        <v>46</v>
      </c>
      <c r="EK22" s="16">
        <f t="shared" si="287"/>
        <v>40</v>
      </c>
      <c r="EL22" s="16">
        <f t="shared" si="287"/>
        <v>51</v>
      </c>
      <c r="EM22" s="16">
        <f t="shared" si="287"/>
        <v>60</v>
      </c>
      <c r="EN22" s="16">
        <f t="shared" si="287"/>
        <v>68</v>
      </c>
      <c r="EO22" s="16">
        <f t="shared" si="287"/>
        <v>67</v>
      </c>
      <c r="EP22" s="16">
        <f t="shared" si="287"/>
        <v>42</v>
      </c>
      <c r="EQ22" s="16">
        <f t="shared" si="287"/>
        <v>31</v>
      </c>
      <c r="ER22" s="16">
        <f t="shared" si="287"/>
        <v>15</v>
      </c>
      <c r="ES22" s="16">
        <f t="shared" si="287"/>
        <v>3</v>
      </c>
      <c r="ET22" s="16">
        <f t="shared" si="287"/>
        <v>0</v>
      </c>
      <c r="EU22" s="11">
        <f>SUM(DZ22:ET22)</f>
        <v>675</v>
      </c>
      <c r="EV22" s="11">
        <f t="shared" si="282"/>
        <v>32.4</v>
      </c>
      <c r="EW22" s="11">
        <f t="shared" si="283"/>
        <v>16.8</v>
      </c>
      <c r="EX22" s="11">
        <f t="shared" si="280"/>
        <v>286</v>
      </c>
      <c r="EY22" s="11">
        <f t="shared" si="284"/>
        <v>158</v>
      </c>
      <c r="EZ22" s="15">
        <f t="shared" si="285"/>
        <v>0.42370370370370369</v>
      </c>
      <c r="FA22" s="15">
        <f t="shared" si="286"/>
        <v>0.23407407407407407</v>
      </c>
      <c r="FB22" s="11">
        <f>SUM(ED22:EG22)</f>
        <v>89</v>
      </c>
    </row>
    <row r="23" spans="1:158" x14ac:dyDescent="0.15">
      <c r="BI23" s="53"/>
      <c r="CF23" s="12"/>
      <c r="CG23" s="12"/>
      <c r="CH23" s="12"/>
      <c r="CI23" s="12"/>
      <c r="CJ23" s="12"/>
      <c r="CK23" s="54"/>
      <c r="CL23" s="54"/>
      <c r="CM23" s="12"/>
      <c r="CP23" s="53"/>
      <c r="DM23" s="12"/>
      <c r="DN23" s="12"/>
      <c r="DO23" s="12"/>
      <c r="DP23" s="12"/>
      <c r="DQ23" s="12"/>
      <c r="DR23" s="54"/>
      <c r="DS23" s="54"/>
      <c r="DT23" s="12"/>
      <c r="DX23" s="28">
        <f>DX6</f>
        <v>2030</v>
      </c>
      <c r="DY23" s="3" t="s">
        <v>21</v>
      </c>
      <c r="DZ23" s="9">
        <f t="shared" ref="DZ23:ET23" si="288">ROUND(DZ6,0)</f>
        <v>11</v>
      </c>
      <c r="EA23" s="9">
        <f t="shared" si="288"/>
        <v>6</v>
      </c>
      <c r="EB23" s="9">
        <f t="shared" si="288"/>
        <v>10</v>
      </c>
      <c r="EC23" s="9">
        <f t="shared" si="288"/>
        <v>12</v>
      </c>
      <c r="ED23" s="9">
        <f t="shared" si="288"/>
        <v>7</v>
      </c>
      <c r="EE23" s="9">
        <f t="shared" si="288"/>
        <v>10</v>
      </c>
      <c r="EF23" s="9">
        <f t="shared" si="288"/>
        <v>14</v>
      </c>
      <c r="EG23" s="9">
        <f t="shared" si="288"/>
        <v>20</v>
      </c>
      <c r="EH23" s="9">
        <f t="shared" si="288"/>
        <v>14</v>
      </c>
      <c r="EI23" s="9">
        <f t="shared" si="288"/>
        <v>22</v>
      </c>
      <c r="EJ23" s="9">
        <f t="shared" si="288"/>
        <v>14</v>
      </c>
      <c r="EK23" s="9">
        <f t="shared" si="288"/>
        <v>20</v>
      </c>
      <c r="EL23" s="9">
        <f t="shared" si="288"/>
        <v>20</v>
      </c>
      <c r="EM23" s="9">
        <f t="shared" si="288"/>
        <v>24</v>
      </c>
      <c r="EN23" s="9">
        <f t="shared" si="288"/>
        <v>26</v>
      </c>
      <c r="EO23" s="9">
        <f t="shared" si="288"/>
        <v>26</v>
      </c>
      <c r="EP23" s="9">
        <f t="shared" si="288"/>
        <v>25</v>
      </c>
      <c r="EQ23" s="9">
        <f t="shared" si="288"/>
        <v>11</v>
      </c>
      <c r="ER23" s="9">
        <f t="shared" si="288"/>
        <v>5</v>
      </c>
      <c r="ES23" s="9">
        <f t="shared" si="288"/>
        <v>0</v>
      </c>
      <c r="ET23" s="9">
        <f t="shared" si="288"/>
        <v>0</v>
      </c>
      <c r="EU23" s="9">
        <f t="shared" ref="EU23:EU31" si="289">SUM(DZ23:ET23)</f>
        <v>297</v>
      </c>
      <c r="EV23" s="9">
        <f t="shared" si="282"/>
        <v>9.6</v>
      </c>
      <c r="EW23" s="9">
        <f t="shared" si="283"/>
        <v>6.4</v>
      </c>
      <c r="EX23" s="9">
        <f t="shared" si="280"/>
        <v>117</v>
      </c>
      <c r="EY23" s="9">
        <f t="shared" si="284"/>
        <v>67</v>
      </c>
      <c r="EZ23" s="13">
        <f t="shared" si="285"/>
        <v>0.39393939393939392</v>
      </c>
      <c r="FA23" s="13">
        <f t="shared" si="286"/>
        <v>0.22558922558922559</v>
      </c>
      <c r="FB23" s="9">
        <f t="shared" ref="FB23:FB31" si="290">SUM(ED23:EG23)</f>
        <v>51</v>
      </c>
    </row>
    <row r="24" spans="1:158" x14ac:dyDescent="0.15">
      <c r="BI24" s="53"/>
      <c r="CF24" s="12"/>
      <c r="CG24" s="12"/>
      <c r="CH24" s="12"/>
      <c r="CI24" s="12"/>
      <c r="CJ24" s="12"/>
      <c r="CK24" s="54"/>
      <c r="CL24" s="54"/>
      <c r="CM24" s="12"/>
      <c r="CP24" s="53"/>
      <c r="CR24" s="12"/>
      <c r="CS24" s="12"/>
      <c r="CT24" s="12"/>
      <c r="CU24" s="12"/>
      <c r="CV24" s="12"/>
      <c r="CW24" s="12"/>
      <c r="CX24" s="12"/>
      <c r="CY24" s="12"/>
      <c r="CZ24" s="12"/>
      <c r="DA24" s="12"/>
      <c r="DB24" s="12"/>
      <c r="DC24" s="12"/>
      <c r="DD24" s="12"/>
      <c r="DE24" s="12"/>
      <c r="DF24" s="12"/>
      <c r="DG24" s="12"/>
      <c r="DH24" s="12"/>
      <c r="DI24" s="12"/>
      <c r="DJ24" s="12"/>
      <c r="DK24" s="12"/>
      <c r="DL24" s="12"/>
      <c r="DM24" s="12"/>
      <c r="DN24" s="12"/>
      <c r="DO24" s="12"/>
      <c r="DP24" s="12"/>
      <c r="DQ24" s="12"/>
      <c r="DR24" s="54"/>
      <c r="DS24" s="54"/>
      <c r="DT24" s="12"/>
      <c r="DX24" s="29">
        <f>DX23</f>
        <v>2030</v>
      </c>
      <c r="DY24" s="4" t="s">
        <v>22</v>
      </c>
      <c r="DZ24" s="10">
        <f t="shared" ref="DZ24:ET24" si="291">ROUND(DZ7,0)</f>
        <v>25</v>
      </c>
      <c r="EA24" s="10">
        <f t="shared" si="291"/>
        <v>12</v>
      </c>
      <c r="EB24" s="10">
        <f t="shared" si="291"/>
        <v>14</v>
      </c>
      <c r="EC24" s="10">
        <f t="shared" si="291"/>
        <v>12</v>
      </c>
      <c r="ED24" s="10">
        <f t="shared" si="291"/>
        <v>9</v>
      </c>
      <c r="EE24" s="10">
        <f t="shared" si="291"/>
        <v>13</v>
      </c>
      <c r="EF24" s="10">
        <f t="shared" si="291"/>
        <v>19</v>
      </c>
      <c r="EG24" s="10">
        <f t="shared" si="291"/>
        <v>27</v>
      </c>
      <c r="EH24" s="10">
        <f t="shared" si="291"/>
        <v>17</v>
      </c>
      <c r="EI24" s="10">
        <f t="shared" si="291"/>
        <v>15</v>
      </c>
      <c r="EJ24" s="10">
        <f t="shared" si="291"/>
        <v>12</v>
      </c>
      <c r="EK24" s="10">
        <f t="shared" si="291"/>
        <v>20</v>
      </c>
      <c r="EL24" s="10">
        <f t="shared" si="291"/>
        <v>25</v>
      </c>
      <c r="EM24" s="10">
        <f t="shared" si="291"/>
        <v>27</v>
      </c>
      <c r="EN24" s="10">
        <f t="shared" si="291"/>
        <v>33</v>
      </c>
      <c r="EO24" s="10">
        <f t="shared" si="291"/>
        <v>34</v>
      </c>
      <c r="EP24" s="10">
        <f t="shared" si="291"/>
        <v>27</v>
      </c>
      <c r="EQ24" s="10">
        <f t="shared" si="291"/>
        <v>19</v>
      </c>
      <c r="ER24" s="10">
        <f t="shared" si="291"/>
        <v>9</v>
      </c>
      <c r="ES24" s="10">
        <f t="shared" si="291"/>
        <v>3</v>
      </c>
      <c r="ET24" s="10">
        <f t="shared" si="291"/>
        <v>0</v>
      </c>
      <c r="EU24" s="10">
        <f t="shared" si="289"/>
        <v>372</v>
      </c>
      <c r="EV24" s="10">
        <f t="shared" si="282"/>
        <v>15.600000000000001</v>
      </c>
      <c r="EW24" s="10">
        <f t="shared" si="283"/>
        <v>8</v>
      </c>
      <c r="EX24" s="10">
        <f t="shared" si="280"/>
        <v>152</v>
      </c>
      <c r="EY24" s="10">
        <f t="shared" si="284"/>
        <v>92</v>
      </c>
      <c r="EZ24" s="14">
        <f t="shared" si="285"/>
        <v>0.40860215053763443</v>
      </c>
      <c r="FA24" s="14">
        <f t="shared" si="286"/>
        <v>0.24731182795698925</v>
      </c>
      <c r="FB24" s="10">
        <f t="shared" si="290"/>
        <v>68</v>
      </c>
    </row>
    <row r="25" spans="1:158" x14ac:dyDescent="0.15">
      <c r="BI25" s="53"/>
      <c r="CF25" s="12"/>
      <c r="CG25" s="12"/>
      <c r="CH25" s="12"/>
      <c r="CI25" s="12"/>
      <c r="CJ25" s="12"/>
      <c r="CK25" s="54"/>
      <c r="CL25" s="54"/>
      <c r="CM25" s="12"/>
      <c r="CP25" s="53"/>
      <c r="CR25" s="12"/>
      <c r="CS25" s="12"/>
      <c r="CT25" s="12"/>
      <c r="CU25" s="12"/>
      <c r="CV25" s="12"/>
      <c r="CW25" s="12"/>
      <c r="CX25" s="12"/>
      <c r="CY25" s="12"/>
      <c r="CZ25" s="12"/>
      <c r="DA25" s="12"/>
      <c r="DB25" s="12"/>
      <c r="DC25" s="12"/>
      <c r="DD25" s="12"/>
      <c r="DE25" s="12"/>
      <c r="DF25" s="12"/>
      <c r="DG25" s="12"/>
      <c r="DH25" s="12"/>
      <c r="DI25" s="12"/>
      <c r="DJ25" s="12"/>
      <c r="DK25" s="12"/>
      <c r="DL25" s="12"/>
      <c r="DM25" s="12"/>
      <c r="DN25" s="12"/>
      <c r="DO25" s="12"/>
      <c r="DP25" s="12"/>
      <c r="DQ25" s="12"/>
      <c r="DR25" s="54"/>
      <c r="DS25" s="54"/>
      <c r="DT25" s="12"/>
      <c r="DX25" s="30">
        <f>DX24</f>
        <v>2030</v>
      </c>
      <c r="DY25" s="5" t="s">
        <v>23</v>
      </c>
      <c r="DZ25" s="16">
        <f>DZ23+DZ24</f>
        <v>36</v>
      </c>
      <c r="EA25" s="16">
        <f t="shared" ref="EA25:ET25" si="292">EA23+EA24</f>
        <v>18</v>
      </c>
      <c r="EB25" s="16">
        <f t="shared" si="292"/>
        <v>24</v>
      </c>
      <c r="EC25" s="16">
        <f t="shared" si="292"/>
        <v>24</v>
      </c>
      <c r="ED25" s="16">
        <f t="shared" si="292"/>
        <v>16</v>
      </c>
      <c r="EE25" s="16">
        <f t="shared" si="292"/>
        <v>23</v>
      </c>
      <c r="EF25" s="16">
        <f t="shared" si="292"/>
        <v>33</v>
      </c>
      <c r="EG25" s="16">
        <f t="shared" si="292"/>
        <v>47</v>
      </c>
      <c r="EH25" s="16">
        <f t="shared" si="292"/>
        <v>31</v>
      </c>
      <c r="EI25" s="16">
        <f t="shared" si="292"/>
        <v>37</v>
      </c>
      <c r="EJ25" s="16">
        <f t="shared" si="292"/>
        <v>26</v>
      </c>
      <c r="EK25" s="16">
        <f t="shared" si="292"/>
        <v>40</v>
      </c>
      <c r="EL25" s="16">
        <f t="shared" si="292"/>
        <v>45</v>
      </c>
      <c r="EM25" s="16">
        <f t="shared" si="292"/>
        <v>51</v>
      </c>
      <c r="EN25" s="16">
        <f t="shared" si="292"/>
        <v>59</v>
      </c>
      <c r="EO25" s="16">
        <f t="shared" si="292"/>
        <v>60</v>
      </c>
      <c r="EP25" s="16">
        <f t="shared" si="292"/>
        <v>52</v>
      </c>
      <c r="EQ25" s="16">
        <f t="shared" si="292"/>
        <v>30</v>
      </c>
      <c r="ER25" s="16">
        <f t="shared" si="292"/>
        <v>14</v>
      </c>
      <c r="ES25" s="16">
        <f t="shared" si="292"/>
        <v>3</v>
      </c>
      <c r="ET25" s="16">
        <f t="shared" si="292"/>
        <v>0</v>
      </c>
      <c r="EU25" s="11">
        <f t="shared" si="289"/>
        <v>669</v>
      </c>
      <c r="EV25" s="11">
        <f t="shared" si="282"/>
        <v>25.200000000000003</v>
      </c>
      <c r="EW25" s="11">
        <f t="shared" si="283"/>
        <v>14.399999999999999</v>
      </c>
      <c r="EX25" s="11">
        <f t="shared" si="280"/>
        <v>269</v>
      </c>
      <c r="EY25" s="11">
        <f t="shared" si="284"/>
        <v>159</v>
      </c>
      <c r="EZ25" s="15">
        <f t="shared" si="285"/>
        <v>0.40209267563527651</v>
      </c>
      <c r="FA25" s="15">
        <f t="shared" si="286"/>
        <v>0.23766816143497757</v>
      </c>
      <c r="FB25" s="11">
        <f t="shared" si="290"/>
        <v>119</v>
      </c>
    </row>
    <row r="26" spans="1:158" x14ac:dyDescent="0.15">
      <c r="BI26" s="53"/>
      <c r="CF26" s="12"/>
      <c r="CG26" s="12"/>
      <c r="CH26" s="12"/>
      <c r="CI26" s="12"/>
      <c r="CJ26" s="12"/>
      <c r="CK26" s="54"/>
      <c r="CL26" s="54"/>
      <c r="CM26" s="12"/>
      <c r="CP26" s="53"/>
      <c r="CR26" s="12"/>
      <c r="CS26" s="12"/>
      <c r="CT26" s="12"/>
      <c r="CU26" s="12"/>
      <c r="CV26" s="12"/>
      <c r="CW26" s="12"/>
      <c r="CX26" s="12"/>
      <c r="CY26" s="12"/>
      <c r="CZ26" s="12"/>
      <c r="DA26" s="12"/>
      <c r="DB26" s="12"/>
      <c r="DC26" s="12"/>
      <c r="DD26" s="12"/>
      <c r="DE26" s="12"/>
      <c r="DF26" s="12"/>
      <c r="DG26" s="12"/>
      <c r="DH26" s="12"/>
      <c r="DI26" s="12"/>
      <c r="DJ26" s="12"/>
      <c r="DK26" s="12"/>
      <c r="DL26" s="12"/>
      <c r="DM26" s="12"/>
      <c r="DN26" s="12"/>
      <c r="DO26" s="12"/>
      <c r="DP26" s="12"/>
      <c r="DQ26" s="12"/>
      <c r="DR26" s="54"/>
      <c r="DS26" s="54"/>
      <c r="DT26" s="12"/>
      <c r="DX26" s="28">
        <f>DX9</f>
        <v>2035</v>
      </c>
      <c r="DY26" s="3" t="s">
        <v>21</v>
      </c>
      <c r="DZ26" s="9">
        <f t="shared" ref="DZ26:ET26" si="293">ROUND(DZ9,0)</f>
        <v>12</v>
      </c>
      <c r="EA26" s="9">
        <f t="shared" si="293"/>
        <v>14</v>
      </c>
      <c r="EB26" s="9">
        <f t="shared" si="293"/>
        <v>7</v>
      </c>
      <c r="EC26" s="9">
        <f t="shared" si="293"/>
        <v>7</v>
      </c>
      <c r="ED26" s="9">
        <f t="shared" si="293"/>
        <v>7</v>
      </c>
      <c r="EE26" s="9">
        <f t="shared" si="293"/>
        <v>11</v>
      </c>
      <c r="EF26" s="9">
        <f t="shared" si="293"/>
        <v>13</v>
      </c>
      <c r="EG26" s="9">
        <f t="shared" si="293"/>
        <v>22</v>
      </c>
      <c r="EH26" s="9">
        <f t="shared" si="293"/>
        <v>27</v>
      </c>
      <c r="EI26" s="9">
        <f t="shared" si="293"/>
        <v>14</v>
      </c>
      <c r="EJ26" s="9">
        <f t="shared" si="293"/>
        <v>21</v>
      </c>
      <c r="EK26" s="9">
        <f t="shared" si="293"/>
        <v>12</v>
      </c>
      <c r="EL26" s="9">
        <f t="shared" si="293"/>
        <v>22</v>
      </c>
      <c r="EM26" s="9">
        <f t="shared" si="293"/>
        <v>20</v>
      </c>
      <c r="EN26" s="9">
        <f t="shared" si="293"/>
        <v>22</v>
      </c>
      <c r="EO26" s="9">
        <f t="shared" si="293"/>
        <v>23</v>
      </c>
      <c r="EP26" s="9">
        <f t="shared" si="293"/>
        <v>20</v>
      </c>
      <c r="EQ26" s="9">
        <f t="shared" si="293"/>
        <v>16</v>
      </c>
      <c r="ER26" s="9">
        <f t="shared" si="293"/>
        <v>4</v>
      </c>
      <c r="ES26" s="9">
        <f t="shared" si="293"/>
        <v>0</v>
      </c>
      <c r="ET26" s="9">
        <f t="shared" si="293"/>
        <v>0</v>
      </c>
      <c r="EU26" s="9">
        <f t="shared" si="289"/>
        <v>294</v>
      </c>
      <c r="EV26" s="9">
        <f t="shared" si="282"/>
        <v>12.600000000000001</v>
      </c>
      <c r="EW26" s="9">
        <f t="shared" si="283"/>
        <v>4.1999999999999993</v>
      </c>
      <c r="EX26" s="9">
        <f t="shared" si="280"/>
        <v>105</v>
      </c>
      <c r="EY26" s="9">
        <f t="shared" si="284"/>
        <v>63</v>
      </c>
      <c r="EZ26" s="13">
        <f t="shared" si="285"/>
        <v>0.35714285714285715</v>
      </c>
      <c r="FA26" s="13">
        <f t="shared" si="286"/>
        <v>0.21428571428571427</v>
      </c>
      <c r="FB26" s="9">
        <f t="shared" si="290"/>
        <v>53</v>
      </c>
    </row>
    <row r="27" spans="1:158" x14ac:dyDescent="0.15">
      <c r="CR27" s="12"/>
      <c r="CS27" s="12"/>
      <c r="CT27" s="12"/>
      <c r="CU27" s="12"/>
      <c r="CV27" s="12"/>
      <c r="CW27" s="12"/>
      <c r="CX27" s="12"/>
      <c r="CY27" s="12"/>
      <c r="CZ27" s="12"/>
      <c r="DA27" s="12"/>
      <c r="DB27" s="12"/>
      <c r="DC27" s="12"/>
      <c r="DD27" s="12"/>
      <c r="DE27" s="12"/>
      <c r="DF27" s="12"/>
      <c r="DG27" s="12"/>
      <c r="DH27" s="12"/>
      <c r="DI27" s="12"/>
      <c r="DJ27" s="12"/>
      <c r="DK27" s="12"/>
      <c r="DL27" s="12"/>
      <c r="DM27" s="12"/>
      <c r="DN27" s="12"/>
      <c r="DO27" s="12"/>
      <c r="DP27" s="12"/>
      <c r="DQ27" s="12"/>
      <c r="DX27" s="29">
        <f>DX26</f>
        <v>2035</v>
      </c>
      <c r="DY27" s="4" t="s">
        <v>22</v>
      </c>
      <c r="DZ27" s="10">
        <f t="shared" ref="DZ27:ET27" si="294">ROUND(DZ10,0)</f>
        <v>28</v>
      </c>
      <c r="EA27" s="10">
        <f t="shared" si="294"/>
        <v>26</v>
      </c>
      <c r="EB27" s="10">
        <f t="shared" si="294"/>
        <v>11</v>
      </c>
      <c r="EC27" s="10">
        <f t="shared" si="294"/>
        <v>15</v>
      </c>
      <c r="ED27" s="10">
        <f t="shared" si="294"/>
        <v>8</v>
      </c>
      <c r="EE27" s="10">
        <f t="shared" si="294"/>
        <v>13</v>
      </c>
      <c r="EF27" s="10">
        <f t="shared" si="294"/>
        <v>17</v>
      </c>
      <c r="EG27" s="10">
        <f t="shared" si="294"/>
        <v>37</v>
      </c>
      <c r="EH27" s="10">
        <f t="shared" si="294"/>
        <v>28</v>
      </c>
      <c r="EI27" s="10">
        <f t="shared" si="294"/>
        <v>15</v>
      </c>
      <c r="EJ27" s="10">
        <f t="shared" si="294"/>
        <v>16</v>
      </c>
      <c r="EK27" s="10">
        <f t="shared" si="294"/>
        <v>11</v>
      </c>
      <c r="EL27" s="10">
        <f t="shared" si="294"/>
        <v>24</v>
      </c>
      <c r="EM27" s="10">
        <f t="shared" si="294"/>
        <v>25</v>
      </c>
      <c r="EN27" s="10">
        <f t="shared" si="294"/>
        <v>28</v>
      </c>
      <c r="EO27" s="10">
        <f t="shared" si="294"/>
        <v>29</v>
      </c>
      <c r="EP27" s="10">
        <f t="shared" si="294"/>
        <v>26</v>
      </c>
      <c r="EQ27" s="10">
        <f t="shared" si="294"/>
        <v>21</v>
      </c>
      <c r="ER27" s="10">
        <f t="shared" si="294"/>
        <v>10</v>
      </c>
      <c r="ES27" s="10">
        <f t="shared" si="294"/>
        <v>3</v>
      </c>
      <c r="ET27" s="10">
        <f t="shared" si="294"/>
        <v>0</v>
      </c>
      <c r="EU27" s="10">
        <f t="shared" si="289"/>
        <v>391</v>
      </c>
      <c r="EV27" s="10">
        <f t="shared" si="282"/>
        <v>22.2</v>
      </c>
      <c r="EW27" s="10">
        <f t="shared" si="283"/>
        <v>7.4</v>
      </c>
      <c r="EX27" s="10">
        <f t="shared" si="280"/>
        <v>142</v>
      </c>
      <c r="EY27" s="10">
        <f t="shared" si="284"/>
        <v>89</v>
      </c>
      <c r="EZ27" s="14">
        <f t="shared" si="285"/>
        <v>0.3631713554987212</v>
      </c>
      <c r="FA27" s="14">
        <f t="shared" si="286"/>
        <v>0.22762148337595908</v>
      </c>
      <c r="FB27" s="10">
        <f t="shared" si="290"/>
        <v>75</v>
      </c>
    </row>
    <row r="28" spans="1:158" x14ac:dyDescent="0.15">
      <c r="CR28" s="12"/>
      <c r="CS28" s="12"/>
      <c r="CT28" s="12"/>
      <c r="CU28" s="12"/>
      <c r="CV28" s="12"/>
      <c r="CW28" s="12"/>
      <c r="CX28" s="12"/>
      <c r="CY28" s="12"/>
      <c r="CZ28" s="12"/>
      <c r="DA28" s="12"/>
      <c r="DB28" s="12"/>
      <c r="DC28" s="12"/>
      <c r="DD28" s="12"/>
      <c r="DE28" s="12"/>
      <c r="DF28" s="12"/>
      <c r="DG28" s="12"/>
      <c r="DH28" s="12"/>
      <c r="DI28" s="12"/>
      <c r="DJ28" s="12"/>
      <c r="DK28" s="12"/>
      <c r="DL28" s="12"/>
      <c r="DM28" s="12"/>
      <c r="DN28" s="12"/>
      <c r="DO28" s="12"/>
      <c r="DP28" s="12"/>
      <c r="DQ28" s="12"/>
      <c r="DX28" s="30">
        <f>DX27</f>
        <v>2035</v>
      </c>
      <c r="DY28" s="5" t="s">
        <v>23</v>
      </c>
      <c r="DZ28" s="16">
        <f>DZ26+DZ27</f>
        <v>40</v>
      </c>
      <c r="EA28" s="16">
        <f t="shared" ref="EA28:ET28" si="295">EA26+EA27</f>
        <v>40</v>
      </c>
      <c r="EB28" s="16">
        <f t="shared" si="295"/>
        <v>18</v>
      </c>
      <c r="EC28" s="16">
        <f t="shared" si="295"/>
        <v>22</v>
      </c>
      <c r="ED28" s="16">
        <f t="shared" si="295"/>
        <v>15</v>
      </c>
      <c r="EE28" s="16">
        <f t="shared" si="295"/>
        <v>24</v>
      </c>
      <c r="EF28" s="16">
        <f t="shared" si="295"/>
        <v>30</v>
      </c>
      <c r="EG28" s="16">
        <f t="shared" si="295"/>
        <v>59</v>
      </c>
      <c r="EH28" s="16">
        <f t="shared" si="295"/>
        <v>55</v>
      </c>
      <c r="EI28" s="16">
        <f t="shared" si="295"/>
        <v>29</v>
      </c>
      <c r="EJ28" s="16">
        <f t="shared" si="295"/>
        <v>37</v>
      </c>
      <c r="EK28" s="16">
        <f t="shared" si="295"/>
        <v>23</v>
      </c>
      <c r="EL28" s="16">
        <f t="shared" si="295"/>
        <v>46</v>
      </c>
      <c r="EM28" s="16">
        <f t="shared" si="295"/>
        <v>45</v>
      </c>
      <c r="EN28" s="16">
        <f t="shared" si="295"/>
        <v>50</v>
      </c>
      <c r="EO28" s="16">
        <f t="shared" si="295"/>
        <v>52</v>
      </c>
      <c r="EP28" s="16">
        <f t="shared" si="295"/>
        <v>46</v>
      </c>
      <c r="EQ28" s="16">
        <f t="shared" si="295"/>
        <v>37</v>
      </c>
      <c r="ER28" s="16">
        <f t="shared" si="295"/>
        <v>14</v>
      </c>
      <c r="ES28" s="16">
        <f t="shared" si="295"/>
        <v>3</v>
      </c>
      <c r="ET28" s="16">
        <f t="shared" si="295"/>
        <v>0</v>
      </c>
      <c r="EU28" s="11">
        <f t="shared" si="289"/>
        <v>685</v>
      </c>
      <c r="EV28" s="11">
        <f t="shared" si="282"/>
        <v>34.799999999999997</v>
      </c>
      <c r="EW28" s="11">
        <f t="shared" si="283"/>
        <v>11.600000000000001</v>
      </c>
      <c r="EX28" s="11">
        <f t="shared" si="280"/>
        <v>247</v>
      </c>
      <c r="EY28" s="11">
        <f t="shared" si="284"/>
        <v>152</v>
      </c>
      <c r="EZ28" s="15">
        <f t="shared" si="285"/>
        <v>0.3605839416058394</v>
      </c>
      <c r="FA28" s="15">
        <f t="shared" si="286"/>
        <v>0.22189781021897811</v>
      </c>
      <c r="FB28" s="11">
        <f t="shared" si="290"/>
        <v>128</v>
      </c>
    </row>
    <row r="29" spans="1:158" x14ac:dyDescent="0.15">
      <c r="CR29" s="12"/>
      <c r="CS29" s="12"/>
      <c r="CT29" s="12"/>
      <c r="CU29" s="12"/>
      <c r="CV29" s="12"/>
      <c r="CW29" s="12"/>
      <c r="CX29" s="12"/>
      <c r="CY29" s="12"/>
      <c r="CZ29" s="12"/>
      <c r="DA29" s="12"/>
      <c r="DB29" s="12"/>
      <c r="DC29" s="12"/>
      <c r="DD29" s="12"/>
      <c r="DE29" s="12"/>
      <c r="DF29" s="12"/>
      <c r="DG29" s="12"/>
      <c r="DH29" s="12"/>
      <c r="DI29" s="12"/>
      <c r="DJ29" s="12"/>
      <c r="DK29" s="12"/>
      <c r="DL29" s="12"/>
      <c r="DM29" s="12"/>
      <c r="DN29" s="12"/>
      <c r="DO29" s="12"/>
      <c r="DP29" s="12"/>
      <c r="DQ29" s="12"/>
      <c r="DX29" s="28">
        <f>DX12</f>
        <v>2040</v>
      </c>
      <c r="DY29" s="3" t="s">
        <v>21</v>
      </c>
      <c r="DZ29" s="9">
        <f t="shared" ref="DZ29:ET29" si="296">ROUND(DZ12,0)</f>
        <v>12</v>
      </c>
      <c r="EA29" s="9">
        <f t="shared" si="296"/>
        <v>15</v>
      </c>
      <c r="EB29" s="9">
        <f t="shared" si="296"/>
        <v>15</v>
      </c>
      <c r="EC29" s="9">
        <f t="shared" si="296"/>
        <v>5</v>
      </c>
      <c r="ED29" s="9">
        <f t="shared" si="296"/>
        <v>4</v>
      </c>
      <c r="EE29" s="9">
        <f t="shared" si="296"/>
        <v>11</v>
      </c>
      <c r="EF29" s="9">
        <f t="shared" si="296"/>
        <v>14</v>
      </c>
      <c r="EG29" s="9">
        <f t="shared" si="296"/>
        <v>22</v>
      </c>
      <c r="EH29" s="9">
        <f t="shared" si="296"/>
        <v>30</v>
      </c>
      <c r="EI29" s="9">
        <f t="shared" si="296"/>
        <v>27</v>
      </c>
      <c r="EJ29" s="9">
        <f t="shared" si="296"/>
        <v>13</v>
      </c>
      <c r="EK29" s="9">
        <f t="shared" si="296"/>
        <v>18</v>
      </c>
      <c r="EL29" s="9">
        <f t="shared" si="296"/>
        <v>13</v>
      </c>
      <c r="EM29" s="9">
        <f t="shared" si="296"/>
        <v>22</v>
      </c>
      <c r="EN29" s="9">
        <f t="shared" si="296"/>
        <v>19</v>
      </c>
      <c r="EO29" s="9">
        <f t="shared" si="296"/>
        <v>20</v>
      </c>
      <c r="EP29" s="9">
        <f t="shared" si="296"/>
        <v>18</v>
      </c>
      <c r="EQ29" s="9">
        <f t="shared" si="296"/>
        <v>13</v>
      </c>
      <c r="ER29" s="9">
        <f t="shared" si="296"/>
        <v>6</v>
      </c>
      <c r="ES29" s="9">
        <f t="shared" si="296"/>
        <v>0</v>
      </c>
      <c r="ET29" s="9">
        <f t="shared" si="296"/>
        <v>0</v>
      </c>
      <c r="EU29" s="9">
        <f t="shared" si="289"/>
        <v>297</v>
      </c>
      <c r="EV29" s="9">
        <f t="shared" si="282"/>
        <v>18</v>
      </c>
      <c r="EW29" s="9">
        <f t="shared" si="283"/>
        <v>7</v>
      </c>
      <c r="EX29" s="9">
        <f t="shared" si="280"/>
        <v>98</v>
      </c>
      <c r="EY29" s="9">
        <f t="shared" si="284"/>
        <v>57</v>
      </c>
      <c r="EZ29" s="13">
        <f t="shared" si="285"/>
        <v>0.32996632996632996</v>
      </c>
      <c r="FA29" s="13">
        <f t="shared" si="286"/>
        <v>0.19191919191919191</v>
      </c>
      <c r="FB29" s="9">
        <f t="shared" si="290"/>
        <v>51</v>
      </c>
    </row>
    <row r="30" spans="1:158" x14ac:dyDescent="0.15">
      <c r="CR30" s="12"/>
      <c r="CS30" s="12"/>
      <c r="CT30" s="12"/>
      <c r="CU30" s="12"/>
      <c r="CV30" s="12"/>
      <c r="CW30" s="12"/>
      <c r="CX30" s="12"/>
      <c r="CY30" s="12"/>
      <c r="CZ30" s="12"/>
      <c r="DA30" s="12"/>
      <c r="DB30" s="12"/>
      <c r="DC30" s="12"/>
      <c r="DD30" s="12"/>
      <c r="DE30" s="12"/>
      <c r="DF30" s="12"/>
      <c r="DG30" s="12"/>
      <c r="DH30" s="12"/>
      <c r="DI30" s="12"/>
      <c r="DJ30" s="12"/>
      <c r="DK30" s="12"/>
      <c r="DL30" s="12"/>
      <c r="DM30" s="12"/>
      <c r="DN30" s="12"/>
      <c r="DO30" s="12"/>
      <c r="DP30" s="12"/>
      <c r="DQ30" s="12"/>
      <c r="DX30" s="29">
        <f>DX29</f>
        <v>2040</v>
      </c>
      <c r="DY30" s="4" t="s">
        <v>22</v>
      </c>
      <c r="DZ30" s="10">
        <f t="shared" ref="DZ30:ET30" si="297">ROUND(DZ13,0)</f>
        <v>27</v>
      </c>
      <c r="EA30" s="10">
        <f t="shared" si="297"/>
        <v>28</v>
      </c>
      <c r="EB30" s="10">
        <f t="shared" si="297"/>
        <v>23</v>
      </c>
      <c r="EC30" s="10">
        <f t="shared" si="297"/>
        <v>12</v>
      </c>
      <c r="ED30" s="10">
        <f t="shared" si="297"/>
        <v>10</v>
      </c>
      <c r="EE30" s="10">
        <f t="shared" si="297"/>
        <v>13</v>
      </c>
      <c r="EF30" s="10">
        <f t="shared" si="297"/>
        <v>17</v>
      </c>
      <c r="EG30" s="10">
        <f t="shared" si="297"/>
        <v>33</v>
      </c>
      <c r="EH30" s="10">
        <f t="shared" si="297"/>
        <v>37</v>
      </c>
      <c r="EI30" s="10">
        <f t="shared" si="297"/>
        <v>25</v>
      </c>
      <c r="EJ30" s="10">
        <f t="shared" si="297"/>
        <v>16</v>
      </c>
      <c r="EK30" s="10">
        <f t="shared" si="297"/>
        <v>14</v>
      </c>
      <c r="EL30" s="10">
        <f t="shared" si="297"/>
        <v>13</v>
      </c>
      <c r="EM30" s="10">
        <f t="shared" si="297"/>
        <v>24</v>
      </c>
      <c r="EN30" s="10">
        <f t="shared" si="297"/>
        <v>25</v>
      </c>
      <c r="EO30" s="10">
        <f t="shared" si="297"/>
        <v>24</v>
      </c>
      <c r="EP30" s="10">
        <f t="shared" si="297"/>
        <v>22</v>
      </c>
      <c r="EQ30" s="10">
        <f t="shared" si="297"/>
        <v>20</v>
      </c>
      <c r="ER30" s="10">
        <f t="shared" si="297"/>
        <v>11</v>
      </c>
      <c r="ES30" s="10">
        <f t="shared" si="297"/>
        <v>3</v>
      </c>
      <c r="ET30" s="10">
        <f t="shared" si="297"/>
        <v>0</v>
      </c>
      <c r="EU30" s="10">
        <f t="shared" si="289"/>
        <v>397</v>
      </c>
      <c r="EV30" s="10">
        <f t="shared" si="282"/>
        <v>30.6</v>
      </c>
      <c r="EW30" s="10">
        <f t="shared" si="283"/>
        <v>11.6</v>
      </c>
      <c r="EX30" s="10">
        <f t="shared" si="280"/>
        <v>129</v>
      </c>
      <c r="EY30" s="10">
        <f t="shared" si="284"/>
        <v>80</v>
      </c>
      <c r="EZ30" s="14">
        <f t="shared" si="285"/>
        <v>0.32493702770780858</v>
      </c>
      <c r="FA30" s="14">
        <f t="shared" si="286"/>
        <v>0.20151133501259447</v>
      </c>
      <c r="FB30" s="10">
        <f t="shared" si="290"/>
        <v>73</v>
      </c>
    </row>
    <row r="31" spans="1:158" ht="12.95" customHeight="1" x14ac:dyDescent="0.15">
      <c r="CR31" s="12"/>
      <c r="CS31" s="12"/>
      <c r="CT31" s="12"/>
      <c r="CU31" s="12"/>
      <c r="CV31" s="12"/>
      <c r="CW31" s="12"/>
      <c r="CX31" s="12"/>
      <c r="CY31" s="12"/>
      <c r="CZ31" s="12"/>
      <c r="DA31" s="12"/>
      <c r="DB31" s="12"/>
      <c r="DC31" s="12"/>
      <c r="DD31" s="12"/>
      <c r="DE31" s="12"/>
      <c r="DF31" s="12"/>
      <c r="DG31" s="12"/>
      <c r="DH31" s="12"/>
      <c r="DI31" s="12"/>
      <c r="DJ31" s="12"/>
      <c r="DK31" s="12"/>
      <c r="DL31" s="12"/>
      <c r="DM31" s="12"/>
      <c r="DN31" s="12"/>
      <c r="DO31" s="12"/>
      <c r="DP31" s="12"/>
      <c r="DQ31" s="12"/>
      <c r="DX31" s="30">
        <f>DX30</f>
        <v>2040</v>
      </c>
      <c r="DY31" s="5" t="s">
        <v>23</v>
      </c>
      <c r="DZ31" s="16">
        <f>DZ29+DZ30</f>
        <v>39</v>
      </c>
      <c r="EA31" s="16">
        <f t="shared" ref="EA31:ET31" si="298">EA29+EA30</f>
        <v>43</v>
      </c>
      <c r="EB31" s="16">
        <f t="shared" si="298"/>
        <v>38</v>
      </c>
      <c r="EC31" s="16">
        <f t="shared" si="298"/>
        <v>17</v>
      </c>
      <c r="ED31" s="16">
        <f t="shared" si="298"/>
        <v>14</v>
      </c>
      <c r="EE31" s="16">
        <f t="shared" si="298"/>
        <v>24</v>
      </c>
      <c r="EF31" s="16">
        <f t="shared" si="298"/>
        <v>31</v>
      </c>
      <c r="EG31" s="16">
        <f t="shared" si="298"/>
        <v>55</v>
      </c>
      <c r="EH31" s="16">
        <f t="shared" si="298"/>
        <v>67</v>
      </c>
      <c r="EI31" s="16">
        <f t="shared" si="298"/>
        <v>52</v>
      </c>
      <c r="EJ31" s="16">
        <f t="shared" si="298"/>
        <v>29</v>
      </c>
      <c r="EK31" s="16">
        <f t="shared" si="298"/>
        <v>32</v>
      </c>
      <c r="EL31" s="16">
        <f t="shared" si="298"/>
        <v>26</v>
      </c>
      <c r="EM31" s="16">
        <f t="shared" si="298"/>
        <v>46</v>
      </c>
      <c r="EN31" s="16">
        <f t="shared" si="298"/>
        <v>44</v>
      </c>
      <c r="EO31" s="16">
        <f t="shared" si="298"/>
        <v>44</v>
      </c>
      <c r="EP31" s="16">
        <f t="shared" si="298"/>
        <v>40</v>
      </c>
      <c r="EQ31" s="16">
        <f t="shared" si="298"/>
        <v>33</v>
      </c>
      <c r="ER31" s="16">
        <f t="shared" si="298"/>
        <v>17</v>
      </c>
      <c r="ES31" s="16">
        <f t="shared" si="298"/>
        <v>3</v>
      </c>
      <c r="ET31" s="16">
        <f t="shared" si="298"/>
        <v>0</v>
      </c>
      <c r="EU31" s="11">
        <f t="shared" si="289"/>
        <v>694</v>
      </c>
      <c r="EV31" s="11">
        <f t="shared" si="282"/>
        <v>48.6</v>
      </c>
      <c r="EW31" s="11">
        <f t="shared" si="283"/>
        <v>18.599999999999998</v>
      </c>
      <c r="EX31" s="11">
        <f t="shared" si="280"/>
        <v>227</v>
      </c>
      <c r="EY31" s="11">
        <f t="shared" si="284"/>
        <v>137</v>
      </c>
      <c r="EZ31" s="15">
        <f t="shared" si="285"/>
        <v>0.32708933717579253</v>
      </c>
      <c r="FA31" s="15">
        <f t="shared" si="286"/>
        <v>0.19740634005763688</v>
      </c>
      <c r="FB31" s="11">
        <f t="shared" si="290"/>
        <v>124</v>
      </c>
    </row>
    <row r="32" spans="1:158" ht="12.95" customHeight="1" x14ac:dyDescent="0.15">
      <c r="CR32" s="12"/>
      <c r="CS32" s="12"/>
      <c r="CT32" s="12"/>
      <c r="CU32" s="12"/>
      <c r="CV32" s="12"/>
      <c r="CW32" s="12"/>
      <c r="CX32" s="12"/>
      <c r="CY32" s="12"/>
      <c r="CZ32" s="12"/>
      <c r="DA32" s="12"/>
      <c r="DB32" s="12"/>
      <c r="DC32" s="12"/>
      <c r="DD32" s="12"/>
      <c r="DE32" s="12"/>
      <c r="DF32" s="12"/>
      <c r="DG32" s="12"/>
      <c r="DH32" s="12"/>
      <c r="DI32" s="12"/>
      <c r="DJ32" s="12"/>
      <c r="DK32" s="12"/>
      <c r="DL32" s="12"/>
      <c r="DM32" s="12"/>
      <c r="DN32" s="12"/>
      <c r="DO32" s="12"/>
      <c r="DP32" s="12"/>
      <c r="DQ32" s="12"/>
      <c r="DX32" s="53"/>
      <c r="DZ32" s="12"/>
      <c r="EA32" s="12"/>
      <c r="EB32" s="12"/>
      <c r="EC32" s="12"/>
      <c r="ED32" s="12"/>
      <c r="EE32" s="12"/>
      <c r="EF32" s="12"/>
      <c r="EG32" s="12"/>
      <c r="EH32" s="12"/>
      <c r="EI32" s="12"/>
      <c r="EJ32" s="12"/>
      <c r="EK32" s="12"/>
      <c r="EL32" s="12"/>
      <c r="EM32" s="12"/>
      <c r="EN32" s="12"/>
      <c r="EO32" s="12"/>
      <c r="EP32" s="12"/>
      <c r="EQ32" s="12"/>
      <c r="ER32" s="12"/>
      <c r="ES32" s="12"/>
      <c r="ET32" s="12"/>
      <c r="EU32" s="12"/>
      <c r="EV32" s="12"/>
      <c r="EW32" s="12"/>
      <c r="EX32" s="12"/>
      <c r="EY32" s="12"/>
      <c r="EZ32" s="54"/>
      <c r="FA32" s="54"/>
      <c r="FB32" s="12"/>
    </row>
    <row r="33" spans="96:121" x14ac:dyDescent="0.15">
      <c r="CR33" s="12"/>
      <c r="CS33" s="12"/>
      <c r="CT33" s="12"/>
      <c r="CU33" s="12"/>
      <c r="CV33" s="12"/>
      <c r="CW33" s="12"/>
      <c r="CX33" s="12"/>
      <c r="CY33" s="12"/>
      <c r="CZ33" s="12"/>
      <c r="DA33" s="12"/>
      <c r="DB33" s="12"/>
      <c r="DC33" s="12"/>
      <c r="DD33" s="12"/>
      <c r="DE33" s="12"/>
      <c r="DF33" s="12"/>
      <c r="DG33" s="12"/>
      <c r="DH33" s="12"/>
      <c r="DI33" s="12"/>
      <c r="DJ33" s="12"/>
      <c r="DK33" s="12"/>
      <c r="DL33" s="12"/>
      <c r="DM33" s="12"/>
      <c r="DN33" s="12"/>
      <c r="DO33" s="12"/>
      <c r="DP33" s="12"/>
      <c r="DQ33" s="12"/>
    </row>
    <row r="34" spans="96:121" x14ac:dyDescent="0.15">
      <c r="CR34" s="12"/>
      <c r="CS34" s="12"/>
      <c r="CT34" s="12"/>
      <c r="CU34" s="12"/>
      <c r="CV34" s="12"/>
      <c r="CW34" s="12"/>
      <c r="CX34" s="12"/>
      <c r="CY34" s="12"/>
      <c r="CZ34" s="12"/>
      <c r="DA34" s="12"/>
      <c r="DB34" s="12"/>
      <c r="DC34" s="12"/>
      <c r="DD34" s="12"/>
      <c r="DE34" s="12"/>
      <c r="DF34" s="12"/>
      <c r="DG34" s="12"/>
      <c r="DH34" s="12"/>
      <c r="DI34" s="12"/>
      <c r="DJ34" s="12"/>
      <c r="DK34" s="12"/>
      <c r="DL34" s="12"/>
      <c r="DM34" s="12"/>
      <c r="DN34" s="12"/>
      <c r="DO34" s="12"/>
      <c r="DP34" s="12"/>
      <c r="DQ34" s="12"/>
    </row>
    <row r="35" spans="96:121" ht="14.1" customHeight="1" x14ac:dyDescent="0.15">
      <c r="CR35" s="12"/>
      <c r="CS35" s="12"/>
      <c r="CT35" s="12"/>
      <c r="CU35" s="12"/>
      <c r="CV35" s="12"/>
      <c r="CW35" s="12"/>
      <c r="CX35" s="12"/>
      <c r="CY35" s="12"/>
      <c r="CZ35" s="12"/>
      <c r="DA35" s="12"/>
      <c r="DB35" s="12"/>
      <c r="DC35" s="12"/>
      <c r="DD35" s="12"/>
      <c r="DE35" s="12"/>
      <c r="DF35" s="12"/>
      <c r="DG35" s="12"/>
      <c r="DH35" s="12"/>
      <c r="DI35" s="12"/>
      <c r="DJ35" s="12"/>
      <c r="DK35" s="12"/>
      <c r="DL35" s="12"/>
      <c r="DM35" s="12"/>
      <c r="DN35" s="12"/>
      <c r="DO35" s="12"/>
      <c r="DP35" s="12"/>
      <c r="DQ35" s="12"/>
    </row>
    <row r="46" spans="96:121" ht="12.95" customHeight="1" x14ac:dyDescent="0.15"/>
    <row r="47" spans="96:121" ht="12.95" customHeight="1" x14ac:dyDescent="0.15"/>
    <row r="50" ht="14.1" customHeight="1" x14ac:dyDescent="0.15"/>
    <row r="61" ht="12.95" customHeight="1" x14ac:dyDescent="0.15"/>
    <row r="62" ht="12.95" customHeight="1" x14ac:dyDescent="0.15"/>
    <row r="65" ht="14.1" customHeight="1" x14ac:dyDescent="0.15"/>
    <row r="80" ht="12.95" customHeight="1" x14ac:dyDescent="0.15"/>
  </sheetData>
  <mergeCells count="169">
    <mergeCell ref="EZ18:EZ19"/>
    <mergeCell ref="FA18:FA19"/>
    <mergeCell ref="FB18:FB19"/>
    <mergeCell ref="EQ18:EQ19"/>
    <mergeCell ref="ER18:ER19"/>
    <mergeCell ref="ES18:ES19"/>
    <mergeCell ref="ET18:ET19"/>
    <mergeCell ref="EU18:EU19"/>
    <mergeCell ref="EV18:EV19"/>
    <mergeCell ref="EW18:EW19"/>
    <mergeCell ref="EX18:EX19"/>
    <mergeCell ref="EY18:EY19"/>
    <mergeCell ref="EH18:EH19"/>
    <mergeCell ref="EI18:EI19"/>
    <mergeCell ref="EJ18:EJ19"/>
    <mergeCell ref="EK18:EK19"/>
    <mergeCell ref="EL18:EL19"/>
    <mergeCell ref="EM18:EM19"/>
    <mergeCell ref="EN18:EN19"/>
    <mergeCell ref="EO18:EO19"/>
    <mergeCell ref="EP18:EP19"/>
    <mergeCell ref="DX18:DY19"/>
    <mergeCell ref="DZ18:DZ19"/>
    <mergeCell ref="EA18:EA19"/>
    <mergeCell ref="EB18:EB19"/>
    <mergeCell ref="EC18:EC19"/>
    <mergeCell ref="ED18:ED19"/>
    <mergeCell ref="EE18:EE19"/>
    <mergeCell ref="EF18:EF19"/>
    <mergeCell ref="EG18:EG19"/>
    <mergeCell ref="DO1:DO2"/>
    <mergeCell ref="DP1:DP2"/>
    <mergeCell ref="DQ1:DQ2"/>
    <mergeCell ref="DR1:DR2"/>
    <mergeCell ref="DS1:DS2"/>
    <mergeCell ref="DT1:DT2"/>
    <mergeCell ref="DI1:DI2"/>
    <mergeCell ref="DJ1:DJ2"/>
    <mergeCell ref="DK1:DK2"/>
    <mergeCell ref="DL1:DL2"/>
    <mergeCell ref="DM1:DM2"/>
    <mergeCell ref="DN1:DN2"/>
    <mergeCell ref="DC1:DC2"/>
    <mergeCell ref="DD1:DD2"/>
    <mergeCell ref="DE1:DE2"/>
    <mergeCell ref="DF1:DF2"/>
    <mergeCell ref="DG1:DG2"/>
    <mergeCell ref="DH1:DH2"/>
    <mergeCell ref="CW1:CW2"/>
    <mergeCell ref="CX1:CX2"/>
    <mergeCell ref="CY1:CY2"/>
    <mergeCell ref="CZ1:CZ2"/>
    <mergeCell ref="DA1:DA2"/>
    <mergeCell ref="DB1:DB2"/>
    <mergeCell ref="CM1:CM2"/>
    <mergeCell ref="CR1:CR2"/>
    <mergeCell ref="CS1:CS2"/>
    <mergeCell ref="CT1:CT2"/>
    <mergeCell ref="CU1:CU2"/>
    <mergeCell ref="CV1:CV2"/>
    <mergeCell ref="CG1:CG2"/>
    <mergeCell ref="CH1:CH2"/>
    <mergeCell ref="CI1:CI2"/>
    <mergeCell ref="CJ1:CJ2"/>
    <mergeCell ref="CK1:CK2"/>
    <mergeCell ref="CL1:CL2"/>
    <mergeCell ref="CA1:CA2"/>
    <mergeCell ref="CB1:CB2"/>
    <mergeCell ref="CC1:CC2"/>
    <mergeCell ref="CD1:CD2"/>
    <mergeCell ref="CE1:CE2"/>
    <mergeCell ref="CF1:CF2"/>
    <mergeCell ref="BU1:BU2"/>
    <mergeCell ref="BV1:BV2"/>
    <mergeCell ref="BW1:BW2"/>
    <mergeCell ref="BX1:BX2"/>
    <mergeCell ref="BY1:BY2"/>
    <mergeCell ref="BZ1:BZ2"/>
    <mergeCell ref="BQ1:BQ2"/>
    <mergeCell ref="BR1:BR2"/>
    <mergeCell ref="BS1:BS2"/>
    <mergeCell ref="BT1:BT2"/>
    <mergeCell ref="BE1:BE2"/>
    <mergeCell ref="BF1:BF2"/>
    <mergeCell ref="BK1:BK2"/>
    <mergeCell ref="BL1:BL2"/>
    <mergeCell ref="BM1:BM2"/>
    <mergeCell ref="BN1:BN2"/>
    <mergeCell ref="BD1:BD2"/>
    <mergeCell ref="AS1:AS2"/>
    <mergeCell ref="AT1:AT2"/>
    <mergeCell ref="AU1:AU2"/>
    <mergeCell ref="AV1:AV2"/>
    <mergeCell ref="AW1:AW2"/>
    <mergeCell ref="AX1:AX2"/>
    <mergeCell ref="BO1:BO2"/>
    <mergeCell ref="BP1:BP2"/>
    <mergeCell ref="AD1:AD2"/>
    <mergeCell ref="AE1:AE2"/>
    <mergeCell ref="AB1:AB2"/>
    <mergeCell ref="AC1:AC2"/>
    <mergeCell ref="AY1:AY2"/>
    <mergeCell ref="AZ1:AZ2"/>
    <mergeCell ref="BA1:BA2"/>
    <mergeCell ref="BB1:BB2"/>
    <mergeCell ref="BC1:BC2"/>
    <mergeCell ref="D1:D2"/>
    <mergeCell ref="E1:E2"/>
    <mergeCell ref="F1:F2"/>
    <mergeCell ref="G1:G2"/>
    <mergeCell ref="H1:H2"/>
    <mergeCell ref="U1:U2"/>
    <mergeCell ref="V1:V2"/>
    <mergeCell ref="W1:W2"/>
    <mergeCell ref="X1:X2"/>
    <mergeCell ref="O1:O2"/>
    <mergeCell ref="P1:P2"/>
    <mergeCell ref="Q1:Q2"/>
    <mergeCell ref="R1:R2"/>
    <mergeCell ref="S1:S2"/>
    <mergeCell ref="T1:T2"/>
    <mergeCell ref="EB1:EB2"/>
    <mergeCell ref="EC1:EC2"/>
    <mergeCell ref="ED1:ED2"/>
    <mergeCell ref="EE1:EE2"/>
    <mergeCell ref="EF1:EF2"/>
    <mergeCell ref="EG1:EG2"/>
    <mergeCell ref="EH1:EH2"/>
    <mergeCell ref="I1:I2"/>
    <mergeCell ref="J1:J2"/>
    <mergeCell ref="K1:K2"/>
    <mergeCell ref="L1:L2"/>
    <mergeCell ref="M1:M2"/>
    <mergeCell ref="N1:N2"/>
    <mergeCell ref="Y1:Y2"/>
    <mergeCell ref="Z1:Z2"/>
    <mergeCell ref="AM1:AM2"/>
    <mergeCell ref="AN1:AN2"/>
    <mergeCell ref="AO1:AO2"/>
    <mergeCell ref="AP1:AP2"/>
    <mergeCell ref="AQ1:AQ2"/>
    <mergeCell ref="AR1:AR2"/>
    <mergeCell ref="AL1:AL2"/>
    <mergeCell ref="AF1:AF2"/>
    <mergeCell ref="AA1:AA2"/>
    <mergeCell ref="FA1:FA2"/>
    <mergeCell ref="FB1:FB2"/>
    <mergeCell ref="DX1:DY2"/>
    <mergeCell ref="DV1:DW5"/>
    <mergeCell ref="ER1:ER2"/>
    <mergeCell ref="ES1:ES2"/>
    <mergeCell ref="ET1:ET2"/>
    <mergeCell ref="EU1:EU2"/>
    <mergeCell ref="EV1:EV2"/>
    <mergeCell ref="EW1:EW2"/>
    <mergeCell ref="EX1:EX2"/>
    <mergeCell ref="EY1:EY2"/>
    <mergeCell ref="EZ1:EZ2"/>
    <mergeCell ref="EI1:EI2"/>
    <mergeCell ref="EJ1:EJ2"/>
    <mergeCell ref="EK1:EK2"/>
    <mergeCell ref="EL1:EL2"/>
    <mergeCell ref="EM1:EM2"/>
    <mergeCell ref="EN1:EN2"/>
    <mergeCell ref="EO1:EO2"/>
    <mergeCell ref="EP1:EP2"/>
    <mergeCell ref="EQ1:EQ2"/>
    <mergeCell ref="DZ1:DZ2"/>
    <mergeCell ref="EA1:EA2"/>
  </mergeCells>
  <phoneticPr fontId="2"/>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258"/>
  <sheetViews>
    <sheetView zoomScale="85" zoomScaleNormal="85" workbookViewId="0">
      <selection sqref="A1:A2"/>
    </sheetView>
  </sheetViews>
  <sheetFormatPr defaultColWidth="9" defaultRowHeight="13.5" x14ac:dyDescent="0.15"/>
  <cols>
    <col min="1" max="16384" width="9" style="2"/>
  </cols>
  <sheetData>
    <row r="1" spans="1:21" x14ac:dyDescent="0.15">
      <c r="A1" s="64" t="s">
        <v>104</v>
      </c>
      <c r="G1" s="64" t="s">
        <v>105</v>
      </c>
      <c r="N1" s="64" t="s">
        <v>118</v>
      </c>
    </row>
    <row r="2" spans="1:21" x14ac:dyDescent="0.15">
      <c r="A2" s="68" t="s">
        <v>63</v>
      </c>
      <c r="G2" s="68" t="s">
        <v>63</v>
      </c>
      <c r="N2" s="68" t="s">
        <v>63</v>
      </c>
      <c r="P2" s="2" t="s">
        <v>120</v>
      </c>
      <c r="S2" s="2" t="s">
        <v>119</v>
      </c>
    </row>
    <row r="3" spans="1:21" x14ac:dyDescent="0.15">
      <c r="A3" s="68"/>
      <c r="C3" s="7" t="s">
        <v>377</v>
      </c>
      <c r="D3" s="7" t="s">
        <v>378</v>
      </c>
      <c r="E3" s="7" t="s">
        <v>379</v>
      </c>
      <c r="G3" s="68"/>
      <c r="I3" s="7" t="s">
        <v>391</v>
      </c>
      <c r="J3" s="7" t="s">
        <v>392</v>
      </c>
      <c r="K3" s="7" t="s">
        <v>393</v>
      </c>
      <c r="N3" s="68"/>
      <c r="P3" s="7" t="s">
        <v>21</v>
      </c>
      <c r="Q3" s="7" t="s">
        <v>22</v>
      </c>
      <c r="R3" s="7" t="s">
        <v>379</v>
      </c>
      <c r="S3" s="7" t="s">
        <v>21</v>
      </c>
      <c r="T3" s="7" t="s">
        <v>22</v>
      </c>
      <c r="U3" s="7" t="s">
        <v>379</v>
      </c>
    </row>
    <row r="4" spans="1:21" x14ac:dyDescent="0.15">
      <c r="A4" s="1" t="s">
        <v>58</v>
      </c>
      <c r="B4" s="1">
        <f>管理者入力シート!B7</f>
        <v>2010</v>
      </c>
      <c r="C4" s="17">
        <f>SUM(B41:B61)</f>
        <v>367</v>
      </c>
      <c r="D4" s="17">
        <f>SUM(C41:C61)</f>
        <v>416</v>
      </c>
      <c r="E4" s="17">
        <f>C4+D4</f>
        <v>783</v>
      </c>
      <c r="F4" s="85"/>
      <c r="G4" s="1" t="s">
        <v>58</v>
      </c>
      <c r="H4" s="1">
        <f>B4</f>
        <v>2010</v>
      </c>
      <c r="I4" s="17">
        <f>C4</f>
        <v>367</v>
      </c>
      <c r="J4" s="17">
        <f>D4</f>
        <v>416</v>
      </c>
      <c r="K4" s="17">
        <f>I4+J4</f>
        <v>783</v>
      </c>
      <c r="N4" s="1" t="s">
        <v>58</v>
      </c>
      <c r="O4" s="1">
        <f>H4</f>
        <v>2010</v>
      </c>
      <c r="P4" s="17">
        <f>I4</f>
        <v>367</v>
      </c>
      <c r="Q4" s="17">
        <f t="shared" ref="Q4:R4" si="0">J4</f>
        <v>416</v>
      </c>
      <c r="R4" s="17">
        <f t="shared" si="0"/>
        <v>783</v>
      </c>
      <c r="S4" s="1"/>
      <c r="T4" s="1"/>
      <c r="U4" s="1"/>
    </row>
    <row r="5" spans="1:21" x14ac:dyDescent="0.15">
      <c r="A5" s="1" t="s">
        <v>61</v>
      </c>
      <c r="B5" s="1">
        <f>管理者入力シート!B6</f>
        <v>2015</v>
      </c>
      <c r="C5" s="17">
        <f>SUM(B65:B85)</f>
        <v>357</v>
      </c>
      <c r="D5" s="17">
        <f>SUM(C65:C85)</f>
        <v>398</v>
      </c>
      <c r="E5" s="17">
        <f t="shared" ref="E5" si="1">C5+D5</f>
        <v>755</v>
      </c>
      <c r="F5" s="85"/>
      <c r="G5" s="1" t="s">
        <v>57</v>
      </c>
      <c r="H5" s="1">
        <f t="shared" ref="H5:H6" si="2">B5</f>
        <v>2015</v>
      </c>
      <c r="I5" s="17">
        <f t="shared" ref="I5" si="3">C5</f>
        <v>357</v>
      </c>
      <c r="J5" s="17">
        <f>D5</f>
        <v>398</v>
      </c>
      <c r="K5" s="17">
        <f t="shared" ref="K5:K10" si="4">I5+J5</f>
        <v>755</v>
      </c>
      <c r="N5" s="1" t="s">
        <v>57</v>
      </c>
      <c r="O5" s="1">
        <f t="shared" ref="O5:O10" si="5">H5</f>
        <v>2015</v>
      </c>
      <c r="P5" s="17">
        <f t="shared" ref="P5:P10" si="6">I5</f>
        <v>357</v>
      </c>
      <c r="Q5" s="17">
        <f t="shared" ref="Q5:Q10" si="7">J5</f>
        <v>398</v>
      </c>
      <c r="R5" s="17">
        <f t="shared" ref="R5:R10" si="8">K5</f>
        <v>755</v>
      </c>
      <c r="S5" s="1"/>
      <c r="T5" s="1"/>
      <c r="U5" s="1"/>
    </row>
    <row r="6" spans="1:21" x14ac:dyDescent="0.15">
      <c r="A6" s="1" t="s">
        <v>62</v>
      </c>
      <c r="B6" s="1">
        <f>管理者入力シート!B5</f>
        <v>2020</v>
      </c>
      <c r="C6" s="17">
        <f>SUM(B89:B109)</f>
        <v>321</v>
      </c>
      <c r="D6" s="17">
        <f>SUM(C89:C109)</f>
        <v>375</v>
      </c>
      <c r="E6" s="17">
        <f>C6+D6</f>
        <v>696</v>
      </c>
      <c r="F6" s="85"/>
      <c r="G6" s="1" t="s">
        <v>62</v>
      </c>
      <c r="H6" s="1">
        <f t="shared" si="2"/>
        <v>2020</v>
      </c>
      <c r="I6" s="17">
        <f>C6</f>
        <v>321</v>
      </c>
      <c r="J6" s="17">
        <f>D6</f>
        <v>375</v>
      </c>
      <c r="K6" s="17">
        <f t="shared" si="4"/>
        <v>696</v>
      </c>
      <c r="N6" s="1" t="s">
        <v>62</v>
      </c>
      <c r="O6" s="1">
        <f t="shared" si="5"/>
        <v>2020</v>
      </c>
      <c r="P6" s="17">
        <f t="shared" si="6"/>
        <v>321</v>
      </c>
      <c r="Q6" s="17">
        <f t="shared" si="7"/>
        <v>375</v>
      </c>
      <c r="R6" s="17">
        <f t="shared" si="8"/>
        <v>696</v>
      </c>
      <c r="S6" s="1"/>
      <c r="T6" s="1"/>
      <c r="U6" s="1"/>
    </row>
    <row r="7" spans="1:21" x14ac:dyDescent="0.15">
      <c r="G7" s="1" t="s">
        <v>106</v>
      </c>
      <c r="H7" s="1">
        <f>管理者入力シート!B8</f>
        <v>2025</v>
      </c>
      <c r="I7" s="17">
        <f>SUM(H69:H89)</f>
        <v>288</v>
      </c>
      <c r="J7" s="17">
        <f>SUM(I69:I89)</f>
        <v>345</v>
      </c>
      <c r="K7" s="17">
        <f t="shared" si="4"/>
        <v>633</v>
      </c>
      <c r="N7" s="1" t="s">
        <v>106</v>
      </c>
      <c r="O7" s="1">
        <f t="shared" si="5"/>
        <v>2025</v>
      </c>
      <c r="P7" s="17">
        <f t="shared" si="6"/>
        <v>288</v>
      </c>
      <c r="Q7" s="17">
        <f t="shared" si="7"/>
        <v>345</v>
      </c>
      <c r="R7" s="17">
        <f t="shared" si="8"/>
        <v>633</v>
      </c>
      <c r="S7" s="235">
        <f>SUM(O69:O89)</f>
        <v>292</v>
      </c>
      <c r="T7" s="235">
        <f>SUM(P69:P89)</f>
        <v>350</v>
      </c>
      <c r="U7" s="235">
        <f>S7+T7</f>
        <v>642</v>
      </c>
    </row>
    <row r="8" spans="1:21" x14ac:dyDescent="0.15">
      <c r="A8" s="69" t="s">
        <v>71</v>
      </c>
      <c r="G8" s="1" t="s">
        <v>107</v>
      </c>
      <c r="H8" s="1">
        <f>管理者入力シート!B9</f>
        <v>2030</v>
      </c>
      <c r="I8" s="17">
        <f>SUM(H93:H113)</f>
        <v>248</v>
      </c>
      <c r="J8" s="17">
        <f>SUM(I93:I113)</f>
        <v>314</v>
      </c>
      <c r="K8" s="17">
        <f t="shared" si="4"/>
        <v>562</v>
      </c>
      <c r="N8" s="1" t="s">
        <v>107</v>
      </c>
      <c r="O8" s="1">
        <f t="shared" si="5"/>
        <v>2030</v>
      </c>
      <c r="P8" s="17">
        <f t="shared" si="6"/>
        <v>248</v>
      </c>
      <c r="Q8" s="17">
        <f t="shared" si="7"/>
        <v>314</v>
      </c>
      <c r="R8" s="17">
        <f t="shared" si="8"/>
        <v>562</v>
      </c>
      <c r="S8" s="235">
        <f>SUM(O93:O113)</f>
        <v>257</v>
      </c>
      <c r="T8" s="235">
        <f>SUM(P93:P113)</f>
        <v>325</v>
      </c>
      <c r="U8" s="235">
        <f t="shared" ref="U8:U10" si="9">S8+T8</f>
        <v>582</v>
      </c>
    </row>
    <row r="9" spans="1:21" x14ac:dyDescent="0.15">
      <c r="A9" s="2" t="s">
        <v>72</v>
      </c>
      <c r="G9" s="1" t="s">
        <v>108</v>
      </c>
      <c r="H9" s="1">
        <f>管理者入力シート!B10</f>
        <v>2035</v>
      </c>
      <c r="I9" s="17">
        <f>SUM(H117:H137)</f>
        <v>211</v>
      </c>
      <c r="J9" s="17">
        <f>SUM(I117:I137)</f>
        <v>289</v>
      </c>
      <c r="K9" s="17">
        <f t="shared" si="4"/>
        <v>500</v>
      </c>
      <c r="N9" s="1" t="s">
        <v>108</v>
      </c>
      <c r="O9" s="1">
        <f t="shared" si="5"/>
        <v>2035</v>
      </c>
      <c r="P9" s="17">
        <f t="shared" si="6"/>
        <v>211</v>
      </c>
      <c r="Q9" s="17">
        <f t="shared" si="7"/>
        <v>289</v>
      </c>
      <c r="R9" s="17">
        <f t="shared" si="8"/>
        <v>500</v>
      </c>
      <c r="S9" s="235">
        <f>SUM(O117:O137)</f>
        <v>223</v>
      </c>
      <c r="T9" s="235">
        <f>SUM(P117:P137)</f>
        <v>307</v>
      </c>
      <c r="U9" s="235">
        <f t="shared" si="9"/>
        <v>530</v>
      </c>
    </row>
    <row r="10" spans="1:21" x14ac:dyDescent="0.15">
      <c r="A10" s="1" t="s">
        <v>58</v>
      </c>
      <c r="B10" s="1">
        <f>B4</f>
        <v>2010</v>
      </c>
      <c r="C10" s="17">
        <f>ROUND(VLOOKUP(B10&amp;"_3",管理者用人口入力シート!A:AA,26,FALSE),0)</f>
        <v>34</v>
      </c>
      <c r="D10" s="12"/>
      <c r="E10" s="12"/>
      <c r="G10" s="1" t="s">
        <v>109</v>
      </c>
      <c r="H10" s="1">
        <f>管理者入力シート!B11</f>
        <v>2040</v>
      </c>
      <c r="I10" s="17">
        <f>SUM(H141:H161)</f>
        <v>179</v>
      </c>
      <c r="J10" s="17">
        <f>SUM(I141:I161)</f>
        <v>256</v>
      </c>
      <c r="K10" s="17">
        <f t="shared" si="4"/>
        <v>435</v>
      </c>
      <c r="N10" s="1" t="s">
        <v>109</v>
      </c>
      <c r="O10" s="1">
        <f t="shared" si="5"/>
        <v>2040</v>
      </c>
      <c r="P10" s="17">
        <f t="shared" si="6"/>
        <v>179</v>
      </c>
      <c r="Q10" s="17">
        <f t="shared" si="7"/>
        <v>256</v>
      </c>
      <c r="R10" s="17">
        <f t="shared" si="8"/>
        <v>435</v>
      </c>
      <c r="S10" s="235">
        <f>SUM(O141:O161)</f>
        <v>194</v>
      </c>
      <c r="T10" s="235">
        <f>SUM(P141:P161)</f>
        <v>281</v>
      </c>
      <c r="U10" s="235">
        <f t="shared" si="9"/>
        <v>475</v>
      </c>
    </row>
    <row r="11" spans="1:21" x14ac:dyDescent="0.15">
      <c r="A11" s="1" t="s">
        <v>61</v>
      </c>
      <c r="B11" s="1">
        <f t="shared" ref="B11:B12" si="10">B5</f>
        <v>2015</v>
      </c>
      <c r="C11" s="17">
        <f>ROUND(VLOOKUP(B11&amp;"_3",管理者用人口入力シート!A:AA,26,FALSE),0)</f>
        <v>31</v>
      </c>
      <c r="D11" s="12"/>
      <c r="E11" s="12"/>
      <c r="I11" s="12"/>
      <c r="J11" s="12"/>
      <c r="K11" s="12"/>
      <c r="P11" s="12"/>
    </row>
    <row r="12" spans="1:21" x14ac:dyDescent="0.15">
      <c r="A12" s="1" t="s">
        <v>62</v>
      </c>
      <c r="B12" s="1">
        <f t="shared" si="10"/>
        <v>2020</v>
      </c>
      <c r="C12" s="17">
        <f>ROUND(VLOOKUP(B12&amp;"_3",管理者用人口入力シート!A:AA,26,FALSE),0)</f>
        <v>36</v>
      </c>
      <c r="D12" s="12"/>
      <c r="E12" s="12"/>
      <c r="G12" s="69" t="s">
        <v>71</v>
      </c>
      <c r="N12" s="69" t="s">
        <v>71</v>
      </c>
    </row>
    <row r="13" spans="1:21" x14ac:dyDescent="0.15">
      <c r="A13" s="2" t="s">
        <v>73</v>
      </c>
      <c r="G13" s="65" t="s">
        <v>72</v>
      </c>
      <c r="H13" s="65"/>
      <c r="I13" s="66"/>
      <c r="J13" s="12"/>
      <c r="K13" s="12"/>
      <c r="N13" s="65" t="s">
        <v>72</v>
      </c>
      <c r="O13" s="65"/>
      <c r="P13" s="2" t="s">
        <v>120</v>
      </c>
      <c r="Q13" s="2" t="s">
        <v>119</v>
      </c>
    </row>
    <row r="14" spans="1:21" x14ac:dyDescent="0.15">
      <c r="A14" s="1" t="s">
        <v>58</v>
      </c>
      <c r="B14" s="1">
        <f>B4</f>
        <v>2010</v>
      </c>
      <c r="C14" s="17">
        <f>ROUND(VLOOKUP(B14&amp;"_3",管理者用人口入力シート!A:AA,27,FALSE),0)</f>
        <v>23</v>
      </c>
      <c r="D14" s="12"/>
      <c r="E14" s="12"/>
      <c r="G14" s="1" t="s">
        <v>58</v>
      </c>
      <c r="H14" s="1">
        <f>H4</f>
        <v>2010</v>
      </c>
      <c r="I14" s="17">
        <f>C10</f>
        <v>34</v>
      </c>
      <c r="J14" s="12"/>
      <c r="K14" s="12"/>
      <c r="N14" s="1" t="s">
        <v>58</v>
      </c>
      <c r="O14" s="1">
        <f>O4</f>
        <v>2010</v>
      </c>
      <c r="P14" s="17">
        <f>I14</f>
        <v>34</v>
      </c>
      <c r="Q14" s="17"/>
    </row>
    <row r="15" spans="1:21" x14ac:dyDescent="0.15">
      <c r="A15" s="1" t="s">
        <v>61</v>
      </c>
      <c r="B15" s="1">
        <f t="shared" ref="B15:B16" si="11">B5</f>
        <v>2015</v>
      </c>
      <c r="C15" s="17">
        <f>ROUND(VLOOKUP(B15&amp;"_3",管理者用人口入力シート!A:AA,27,FALSE),0)</f>
        <v>14</v>
      </c>
      <c r="D15" s="12"/>
      <c r="E15" s="12"/>
      <c r="G15" s="1" t="s">
        <v>57</v>
      </c>
      <c r="H15" s="1">
        <f t="shared" ref="H15:H20" si="12">H5</f>
        <v>2015</v>
      </c>
      <c r="I15" s="17">
        <f>C11</f>
        <v>31</v>
      </c>
      <c r="J15" s="12"/>
      <c r="K15" s="12"/>
      <c r="N15" s="1" t="s">
        <v>57</v>
      </c>
      <c r="O15" s="1">
        <f t="shared" ref="O15:O20" si="13">O5</f>
        <v>2015</v>
      </c>
      <c r="P15" s="17">
        <f t="shared" ref="P15:P20" si="14">I15</f>
        <v>31</v>
      </c>
      <c r="Q15" s="17"/>
    </row>
    <row r="16" spans="1:21" x14ac:dyDescent="0.15">
      <c r="A16" s="1" t="s">
        <v>62</v>
      </c>
      <c r="B16" s="1">
        <f t="shared" si="11"/>
        <v>2020</v>
      </c>
      <c r="C16" s="17">
        <f>ROUND(VLOOKUP(B16&amp;"_3",管理者用人口入力シート!A:AA,27,FALSE),0)</f>
        <v>16</v>
      </c>
      <c r="D16" s="12"/>
      <c r="E16" s="12"/>
      <c r="G16" s="1" t="s">
        <v>62</v>
      </c>
      <c r="H16" s="1">
        <f t="shared" si="12"/>
        <v>2020</v>
      </c>
      <c r="I16" s="17">
        <f>C12</f>
        <v>36</v>
      </c>
      <c r="J16" s="12"/>
      <c r="K16" s="12"/>
      <c r="N16" s="1" t="s">
        <v>62</v>
      </c>
      <c r="O16" s="1">
        <f t="shared" si="13"/>
        <v>2020</v>
      </c>
      <c r="P16" s="17">
        <f t="shared" si="14"/>
        <v>36</v>
      </c>
      <c r="Q16" s="17"/>
    </row>
    <row r="17" spans="1:17" x14ac:dyDescent="0.15">
      <c r="G17" s="1" t="s">
        <v>106</v>
      </c>
      <c r="H17" s="1">
        <f t="shared" si="12"/>
        <v>2025</v>
      </c>
      <c r="I17" s="17">
        <f>ROUND(VLOOKUP(H17&amp;"_3",管理者用人口入力シート!BH:CM,26,FALSE),0)</f>
        <v>33</v>
      </c>
      <c r="J17" s="12"/>
      <c r="K17" s="12"/>
      <c r="N17" s="1" t="s">
        <v>106</v>
      </c>
      <c r="O17" s="1">
        <f t="shared" si="13"/>
        <v>2025</v>
      </c>
      <c r="P17" s="17">
        <f t="shared" si="14"/>
        <v>33</v>
      </c>
      <c r="Q17" s="17">
        <f>ROUND(VLOOKUP(H17&amp;"_3",管理者用人口入力シート!CO:DT,26,FALSE),0)</f>
        <v>34</v>
      </c>
    </row>
    <row r="18" spans="1:17" x14ac:dyDescent="0.15">
      <c r="A18" s="69" t="s">
        <v>110</v>
      </c>
      <c r="G18" s="1" t="s">
        <v>107</v>
      </c>
      <c r="H18" s="1">
        <f t="shared" si="12"/>
        <v>2030</v>
      </c>
      <c r="I18" s="17">
        <f>ROUND(VLOOKUP(H18&amp;"_3",管理者用人口入力シート!BH:CM,26,FALSE),0)</f>
        <v>26</v>
      </c>
      <c r="J18" s="12"/>
      <c r="K18" s="12"/>
      <c r="N18" s="1" t="s">
        <v>107</v>
      </c>
      <c r="O18" s="1">
        <f t="shared" si="13"/>
        <v>2030</v>
      </c>
      <c r="P18" s="17">
        <f t="shared" si="14"/>
        <v>26</v>
      </c>
      <c r="Q18" s="17">
        <f>ROUND(VLOOKUP(H18&amp;"_3",管理者用人口入力シート!CO:DT,26,FALSE),0)</f>
        <v>28</v>
      </c>
    </row>
    <row r="19" spans="1:17" x14ac:dyDescent="0.15">
      <c r="A19" s="2" t="s">
        <v>84</v>
      </c>
      <c r="G19" s="1" t="s">
        <v>108</v>
      </c>
      <c r="H19" s="1">
        <f t="shared" si="12"/>
        <v>2035</v>
      </c>
      <c r="I19" s="17">
        <f>ROUND(VLOOKUP(H19&amp;"_3",管理者用人口入力シート!BH:CM,26,FALSE),0)</f>
        <v>22</v>
      </c>
      <c r="J19" s="12"/>
      <c r="K19" s="12"/>
      <c r="N19" s="1" t="s">
        <v>108</v>
      </c>
      <c r="O19" s="1">
        <f t="shared" si="13"/>
        <v>2035</v>
      </c>
      <c r="P19" s="17">
        <f t="shared" si="14"/>
        <v>22</v>
      </c>
      <c r="Q19" s="17">
        <f>ROUND(VLOOKUP(H19&amp;"_3",管理者用人口入力シート!CO:DT,26,FALSE),0)</f>
        <v>27</v>
      </c>
    </row>
    <row r="20" spans="1:17" x14ac:dyDescent="0.15">
      <c r="A20" s="1" t="s">
        <v>58</v>
      </c>
      <c r="B20" s="1">
        <f>B4</f>
        <v>2010</v>
      </c>
      <c r="C20" s="17">
        <f>SUM(B54:C61)</f>
        <v>256</v>
      </c>
      <c r="D20" s="12"/>
      <c r="E20" s="12"/>
      <c r="G20" s="1" t="s">
        <v>109</v>
      </c>
      <c r="H20" s="1">
        <f t="shared" si="12"/>
        <v>2040</v>
      </c>
      <c r="I20" s="17">
        <f>ROUND(VLOOKUP(H20&amp;"_3",管理者用人口入力シート!BH:CM,26,FALSE),0)</f>
        <v>21</v>
      </c>
      <c r="J20" s="12"/>
      <c r="K20" s="12"/>
      <c r="N20" s="1" t="s">
        <v>109</v>
      </c>
      <c r="O20" s="1">
        <f t="shared" si="13"/>
        <v>2040</v>
      </c>
      <c r="P20" s="17">
        <f t="shared" si="14"/>
        <v>21</v>
      </c>
      <c r="Q20" s="17">
        <f>ROUND(VLOOKUP(H20&amp;"_3",管理者用人口入力シート!CO:DT,26,FALSE),0)</f>
        <v>28</v>
      </c>
    </row>
    <row r="21" spans="1:17" x14ac:dyDescent="0.15">
      <c r="A21" s="1" t="s">
        <v>61</v>
      </c>
      <c r="B21" s="1">
        <f t="shared" ref="B21:B22" si="15">B5</f>
        <v>2015</v>
      </c>
      <c r="C21" s="17">
        <f>SUM(B78:C85)</f>
        <v>281</v>
      </c>
      <c r="D21" s="12"/>
      <c r="E21" s="12"/>
      <c r="G21" s="65" t="s">
        <v>73</v>
      </c>
      <c r="H21" s="65"/>
      <c r="I21" s="66"/>
      <c r="J21" s="12"/>
      <c r="K21" s="12"/>
      <c r="N21" s="65" t="s">
        <v>73</v>
      </c>
      <c r="O21" s="65"/>
      <c r="P21" s="2" t="s">
        <v>120</v>
      </c>
      <c r="Q21" s="2" t="s">
        <v>119</v>
      </c>
    </row>
    <row r="22" spans="1:17" x14ac:dyDescent="0.15">
      <c r="A22" s="1" t="s">
        <v>62</v>
      </c>
      <c r="B22" s="1">
        <f t="shared" si="15"/>
        <v>2020</v>
      </c>
      <c r="C22" s="17">
        <f>SUM(B102:C109)</f>
        <v>295</v>
      </c>
      <c r="D22" s="12"/>
      <c r="E22" s="12"/>
      <c r="G22" s="1" t="s">
        <v>58</v>
      </c>
      <c r="H22" s="1">
        <f>H4</f>
        <v>2010</v>
      </c>
      <c r="I22" s="17">
        <f>C14</f>
        <v>23</v>
      </c>
      <c r="J22" s="12"/>
      <c r="K22" s="12"/>
      <c r="N22" s="1" t="s">
        <v>58</v>
      </c>
      <c r="O22" s="1">
        <f>O4</f>
        <v>2010</v>
      </c>
      <c r="P22" s="17">
        <f>I22</f>
        <v>23</v>
      </c>
      <c r="Q22" s="17"/>
    </row>
    <row r="23" spans="1:17" x14ac:dyDescent="0.15">
      <c r="A23" s="2" t="s">
        <v>86</v>
      </c>
      <c r="G23" s="1" t="s">
        <v>57</v>
      </c>
      <c r="H23" s="1">
        <f t="shared" ref="H23:H28" si="16">H5</f>
        <v>2015</v>
      </c>
      <c r="I23" s="17">
        <f t="shared" ref="I23:I24" si="17">C15</f>
        <v>14</v>
      </c>
      <c r="J23" s="12"/>
      <c r="K23" s="12"/>
      <c r="N23" s="1" t="s">
        <v>57</v>
      </c>
      <c r="O23" s="1">
        <f t="shared" ref="O23:O28" si="18">O5</f>
        <v>2015</v>
      </c>
      <c r="P23" s="17">
        <f t="shared" ref="P23:P28" si="19">I23</f>
        <v>14</v>
      </c>
      <c r="Q23" s="17"/>
    </row>
    <row r="24" spans="1:17" x14ac:dyDescent="0.15">
      <c r="A24" s="1" t="s">
        <v>58</v>
      </c>
      <c r="B24" s="1">
        <f>B4</f>
        <v>2010</v>
      </c>
      <c r="C24" s="17">
        <f>SUM(B56:C61)</f>
        <v>136</v>
      </c>
      <c r="D24" s="12"/>
      <c r="E24" s="12"/>
      <c r="G24" s="1" t="s">
        <v>62</v>
      </c>
      <c r="H24" s="1">
        <f t="shared" si="16"/>
        <v>2020</v>
      </c>
      <c r="I24" s="17">
        <f t="shared" si="17"/>
        <v>16</v>
      </c>
      <c r="J24" s="12"/>
      <c r="K24" s="12"/>
      <c r="N24" s="1" t="s">
        <v>62</v>
      </c>
      <c r="O24" s="1">
        <f t="shared" si="18"/>
        <v>2020</v>
      </c>
      <c r="P24" s="17">
        <f t="shared" si="19"/>
        <v>16</v>
      </c>
      <c r="Q24" s="17"/>
    </row>
    <row r="25" spans="1:17" x14ac:dyDescent="0.15">
      <c r="A25" s="1" t="s">
        <v>61</v>
      </c>
      <c r="B25" s="1">
        <f t="shared" ref="B25:B26" si="20">B5</f>
        <v>2015</v>
      </c>
      <c r="C25" s="17">
        <f>SUM(B80:C85)</f>
        <v>141</v>
      </c>
      <c r="D25" s="12"/>
      <c r="E25" s="12"/>
      <c r="G25" s="1" t="s">
        <v>106</v>
      </c>
      <c r="H25" s="1">
        <f t="shared" si="16"/>
        <v>2025</v>
      </c>
      <c r="I25" s="17">
        <f>ROUND(VLOOKUP(H25&amp;"_3",管理者用人口入力シート!BH:CM,27,FALSE),0)</f>
        <v>17</v>
      </c>
      <c r="J25" s="12"/>
      <c r="K25" s="12"/>
      <c r="N25" s="1" t="s">
        <v>106</v>
      </c>
      <c r="O25" s="1">
        <f t="shared" si="18"/>
        <v>2025</v>
      </c>
      <c r="P25" s="17">
        <f t="shared" si="19"/>
        <v>17</v>
      </c>
      <c r="Q25" s="17">
        <f>ROUND(VLOOKUP(H17&amp;"_3",管理者用人口入力シート!CO:DT,27,FALSE),0)</f>
        <v>18</v>
      </c>
    </row>
    <row r="26" spans="1:17" x14ac:dyDescent="0.15">
      <c r="A26" s="1" t="s">
        <v>62</v>
      </c>
      <c r="B26" s="1">
        <f t="shared" si="20"/>
        <v>2020</v>
      </c>
      <c r="C26" s="17">
        <f>SUM(B104:C109)</f>
        <v>150</v>
      </c>
      <c r="D26" s="12"/>
      <c r="E26" s="12"/>
      <c r="G26" s="1" t="s">
        <v>107</v>
      </c>
      <c r="H26" s="1">
        <f t="shared" si="16"/>
        <v>2030</v>
      </c>
      <c r="I26" s="17">
        <f>ROUND(VLOOKUP(H26&amp;"_3",管理者用人口入力シート!BH:CM,27,FALSE),0)</f>
        <v>15</v>
      </c>
      <c r="J26" s="12"/>
      <c r="K26" s="12"/>
      <c r="N26" s="1" t="s">
        <v>107</v>
      </c>
      <c r="O26" s="1">
        <f t="shared" si="18"/>
        <v>2030</v>
      </c>
      <c r="P26" s="17">
        <f t="shared" si="19"/>
        <v>15</v>
      </c>
      <c r="Q26" s="17">
        <f>ROUND(VLOOKUP(H18&amp;"_3",管理者用人口入力シート!CO:DT,27,FALSE),0)</f>
        <v>16</v>
      </c>
    </row>
    <row r="27" spans="1:17" x14ac:dyDescent="0.15">
      <c r="G27" s="1" t="s">
        <v>108</v>
      </c>
      <c r="H27" s="1">
        <f t="shared" si="16"/>
        <v>2035</v>
      </c>
      <c r="I27" s="17">
        <f>ROUND(VLOOKUP(H27&amp;"_3",管理者用人口入力シート!BH:CM,27,FALSE),0)</f>
        <v>12</v>
      </c>
      <c r="J27" s="12"/>
      <c r="K27" s="12"/>
      <c r="N27" s="1" t="s">
        <v>108</v>
      </c>
      <c r="O27" s="1">
        <f t="shared" si="18"/>
        <v>2035</v>
      </c>
      <c r="P27" s="17">
        <f t="shared" si="19"/>
        <v>12</v>
      </c>
      <c r="Q27" s="17">
        <f>ROUND(VLOOKUP(H19&amp;"_3",管理者用人口入力シート!CO:DT,27,FALSE),0)</f>
        <v>14</v>
      </c>
    </row>
    <row r="28" spans="1:17" x14ac:dyDescent="0.15">
      <c r="A28" s="69" t="s">
        <v>85</v>
      </c>
      <c r="G28" s="1" t="s">
        <v>109</v>
      </c>
      <c r="H28" s="1">
        <f t="shared" si="16"/>
        <v>2040</v>
      </c>
      <c r="I28" s="17">
        <f>ROUND(VLOOKUP(H28&amp;"_3",管理者用人口入力シート!BH:CM,27,FALSE),0)</f>
        <v>10</v>
      </c>
      <c r="J28" s="12"/>
      <c r="K28" s="12"/>
      <c r="N28" s="1" t="s">
        <v>109</v>
      </c>
      <c r="O28" s="1">
        <f t="shared" si="18"/>
        <v>2040</v>
      </c>
      <c r="P28" s="17">
        <f t="shared" si="19"/>
        <v>10</v>
      </c>
      <c r="Q28" s="17">
        <f>ROUND(VLOOKUP(H20&amp;"_3",管理者用人口入力シート!CO:DT,27,FALSE),0)</f>
        <v>13</v>
      </c>
    </row>
    <row r="29" spans="1:17" x14ac:dyDescent="0.15">
      <c r="A29" s="2" t="s">
        <v>84</v>
      </c>
    </row>
    <row r="30" spans="1:17" x14ac:dyDescent="0.15">
      <c r="A30" s="1" t="s">
        <v>58</v>
      </c>
      <c r="B30" s="1">
        <f>B4</f>
        <v>2010</v>
      </c>
      <c r="C30" s="38">
        <f>ROUND((SUM(B54:C61)/SUM(B41:C61)),2)</f>
        <v>0.33</v>
      </c>
      <c r="D30" s="204"/>
      <c r="E30" s="204"/>
      <c r="G30" s="69" t="s">
        <v>110</v>
      </c>
      <c r="N30" s="69" t="s">
        <v>110</v>
      </c>
    </row>
    <row r="31" spans="1:17" x14ac:dyDescent="0.15">
      <c r="A31" s="1" t="s">
        <v>61</v>
      </c>
      <c r="B31" s="1">
        <f t="shared" ref="B31:B32" si="21">B5</f>
        <v>2015</v>
      </c>
      <c r="C31" s="38">
        <f>ROUND((SUM(B78:C85)/SUM(B65:C85)),2)</f>
        <v>0.37</v>
      </c>
      <c r="D31" s="204"/>
      <c r="E31" s="204"/>
      <c r="G31" s="2" t="s">
        <v>84</v>
      </c>
      <c r="H31" s="65"/>
      <c r="I31" s="66"/>
      <c r="J31" s="12"/>
      <c r="K31" s="12"/>
      <c r="N31" s="2" t="s">
        <v>84</v>
      </c>
      <c r="O31" s="65"/>
      <c r="P31" s="2" t="s">
        <v>120</v>
      </c>
      <c r="Q31" s="2" t="s">
        <v>119</v>
      </c>
    </row>
    <row r="32" spans="1:17" x14ac:dyDescent="0.15">
      <c r="A32" s="1" t="s">
        <v>62</v>
      </c>
      <c r="B32" s="1">
        <f t="shared" si="21"/>
        <v>2020</v>
      </c>
      <c r="C32" s="38">
        <f>ROUND((SUM(B102:C109)/SUM(B89:C109)),2)</f>
        <v>0.42</v>
      </c>
      <c r="D32" s="204"/>
      <c r="E32" s="204"/>
      <c r="G32" s="1" t="s">
        <v>58</v>
      </c>
      <c r="H32" s="1">
        <f>H4</f>
        <v>2010</v>
      </c>
      <c r="I32" s="17">
        <f>C20</f>
        <v>256</v>
      </c>
      <c r="J32" s="12"/>
      <c r="K32" s="12"/>
      <c r="N32" s="1" t="s">
        <v>58</v>
      </c>
      <c r="O32" s="1">
        <f>O4</f>
        <v>2010</v>
      </c>
      <c r="P32" s="17">
        <f>I32</f>
        <v>256</v>
      </c>
      <c r="Q32" s="17"/>
    </row>
    <row r="33" spans="1:17" x14ac:dyDescent="0.15">
      <c r="A33" s="2" t="s">
        <v>86</v>
      </c>
      <c r="G33" s="1" t="s">
        <v>57</v>
      </c>
      <c r="H33" s="1">
        <f t="shared" ref="H33:H38" si="22">H5</f>
        <v>2015</v>
      </c>
      <c r="I33" s="17">
        <f>C21</f>
        <v>281</v>
      </c>
      <c r="J33" s="12"/>
      <c r="K33" s="12"/>
      <c r="N33" s="1" t="s">
        <v>57</v>
      </c>
      <c r="O33" s="1">
        <f t="shared" ref="O33:O38" si="23">O5</f>
        <v>2015</v>
      </c>
      <c r="P33" s="17">
        <f t="shared" ref="P33:P38" si="24">I33</f>
        <v>281</v>
      </c>
      <c r="Q33" s="17"/>
    </row>
    <row r="34" spans="1:17" x14ac:dyDescent="0.15">
      <c r="A34" s="1" t="s">
        <v>58</v>
      </c>
      <c r="B34" s="1">
        <f>B4</f>
        <v>2010</v>
      </c>
      <c r="C34" s="38">
        <f>ROUND((SUM(B56:C61)/SUM(B41:C61)),2)</f>
        <v>0.17</v>
      </c>
      <c r="D34" s="204"/>
      <c r="E34" s="204"/>
      <c r="G34" s="1" t="s">
        <v>62</v>
      </c>
      <c r="H34" s="1">
        <f t="shared" si="22"/>
        <v>2020</v>
      </c>
      <c r="I34" s="17">
        <f>C22</f>
        <v>295</v>
      </c>
      <c r="J34" s="12"/>
      <c r="K34" s="12"/>
      <c r="N34" s="1" t="s">
        <v>62</v>
      </c>
      <c r="O34" s="1">
        <f t="shared" si="23"/>
        <v>2020</v>
      </c>
      <c r="P34" s="17">
        <f t="shared" si="24"/>
        <v>295</v>
      </c>
      <c r="Q34" s="17"/>
    </row>
    <row r="35" spans="1:17" x14ac:dyDescent="0.15">
      <c r="A35" s="1" t="s">
        <v>61</v>
      </c>
      <c r="B35" s="1">
        <f t="shared" ref="B35:B36" si="25">B5</f>
        <v>2015</v>
      </c>
      <c r="C35" s="38">
        <f>ROUND((SUM(B80:C85)/SUM(B65:C85)),2)</f>
        <v>0.19</v>
      </c>
      <c r="D35" s="204"/>
      <c r="E35" s="204"/>
      <c r="G35" s="1" t="s">
        <v>106</v>
      </c>
      <c r="H35" s="1">
        <f t="shared" si="22"/>
        <v>2025</v>
      </c>
      <c r="I35" s="17">
        <f>SUM(H82:I89)</f>
        <v>286</v>
      </c>
      <c r="J35" s="12"/>
      <c r="K35" s="12"/>
      <c r="N35" s="1" t="s">
        <v>106</v>
      </c>
      <c r="O35" s="1">
        <f t="shared" si="23"/>
        <v>2025</v>
      </c>
      <c r="P35" s="17">
        <f t="shared" si="24"/>
        <v>286</v>
      </c>
      <c r="Q35" s="17">
        <f>SUM(O82:P89)</f>
        <v>286</v>
      </c>
    </row>
    <row r="36" spans="1:17" x14ac:dyDescent="0.15">
      <c r="A36" s="1" t="s">
        <v>62</v>
      </c>
      <c r="B36" s="1">
        <f t="shared" si="25"/>
        <v>2020</v>
      </c>
      <c r="C36" s="38">
        <f>ROUND((SUM(B104:C109)/SUM(B89:C109)),2)</f>
        <v>0.22</v>
      </c>
      <c r="D36" s="204"/>
      <c r="E36" s="204"/>
      <c r="G36" s="1" t="s">
        <v>107</v>
      </c>
      <c r="H36" s="1">
        <f t="shared" si="22"/>
        <v>2030</v>
      </c>
      <c r="I36" s="17">
        <f>SUM(H106:I113)</f>
        <v>269</v>
      </c>
      <c r="J36" s="12"/>
      <c r="K36" s="12"/>
      <c r="N36" s="1" t="s">
        <v>107</v>
      </c>
      <c r="O36" s="1">
        <f t="shared" si="23"/>
        <v>2030</v>
      </c>
      <c r="P36" s="17">
        <f t="shared" si="24"/>
        <v>269</v>
      </c>
      <c r="Q36" s="17">
        <f>SUM(O106:P113)</f>
        <v>269</v>
      </c>
    </row>
    <row r="37" spans="1:17" x14ac:dyDescent="0.15">
      <c r="G37" s="1" t="s">
        <v>108</v>
      </c>
      <c r="H37" s="1">
        <f t="shared" si="22"/>
        <v>2035</v>
      </c>
      <c r="I37" s="17">
        <f>SUM(H130:I137)</f>
        <v>247</v>
      </c>
      <c r="J37" s="12"/>
      <c r="K37" s="12"/>
      <c r="N37" s="1" t="s">
        <v>108</v>
      </c>
      <c r="O37" s="1">
        <f t="shared" si="23"/>
        <v>2035</v>
      </c>
      <c r="P37" s="17">
        <f t="shared" si="24"/>
        <v>247</v>
      </c>
      <c r="Q37" s="17">
        <f>SUM(O130:P137)</f>
        <v>247</v>
      </c>
    </row>
    <row r="38" spans="1:17" x14ac:dyDescent="0.15">
      <c r="A38" s="69" t="s">
        <v>113</v>
      </c>
      <c r="G38" s="1" t="s">
        <v>109</v>
      </c>
      <c r="H38" s="1">
        <f t="shared" si="22"/>
        <v>2040</v>
      </c>
      <c r="I38" s="17">
        <f>SUM(H154:I161)</f>
        <v>227</v>
      </c>
      <c r="J38" s="12"/>
      <c r="K38" s="12"/>
      <c r="N38" s="1" t="s">
        <v>109</v>
      </c>
      <c r="O38" s="1">
        <f t="shared" si="23"/>
        <v>2040</v>
      </c>
      <c r="P38" s="17">
        <f t="shared" si="24"/>
        <v>227</v>
      </c>
      <c r="Q38" s="17">
        <f>SUM(O154:P161)</f>
        <v>227</v>
      </c>
    </row>
    <row r="39" spans="1:17" x14ac:dyDescent="0.15">
      <c r="A39" s="2" t="s">
        <v>383</v>
      </c>
      <c r="B39" s="315">
        <f>管理者入力シート!B7</f>
        <v>2010</v>
      </c>
      <c r="C39" s="316"/>
      <c r="D39" s="2" t="s">
        <v>114</v>
      </c>
      <c r="G39" s="2" t="s">
        <v>111</v>
      </c>
      <c r="H39" s="65"/>
      <c r="I39" s="66"/>
      <c r="J39" s="12"/>
      <c r="K39" s="12"/>
      <c r="N39" s="2" t="s">
        <v>111</v>
      </c>
      <c r="O39" s="65"/>
      <c r="P39" s="2" t="s">
        <v>120</v>
      </c>
      <c r="Q39" s="2" t="s">
        <v>119</v>
      </c>
    </row>
    <row r="40" spans="1:17" x14ac:dyDescent="0.15">
      <c r="A40" s="2" t="s">
        <v>115</v>
      </c>
      <c r="B40" s="18" t="s">
        <v>243</v>
      </c>
      <c r="C40" s="18" t="s">
        <v>244</v>
      </c>
      <c r="G40" s="1" t="s">
        <v>58</v>
      </c>
      <c r="H40" s="1">
        <f>H4</f>
        <v>2010</v>
      </c>
      <c r="I40" s="17">
        <f>C24</f>
        <v>136</v>
      </c>
      <c r="J40" s="12"/>
      <c r="K40" s="12"/>
      <c r="N40" s="1" t="s">
        <v>58</v>
      </c>
      <c r="O40" s="1">
        <f>O4</f>
        <v>2010</v>
      </c>
      <c r="P40" s="17">
        <f>I40</f>
        <v>136</v>
      </c>
      <c r="Q40" s="17"/>
    </row>
    <row r="41" spans="1:17" x14ac:dyDescent="0.15">
      <c r="A41" s="2" t="s">
        <v>0</v>
      </c>
      <c r="B41" s="17">
        <f>ROUND(VLOOKUP(B$39&amp;"_1",管理者用人口入力シート!A:X,D41,FALSE),0)</f>
        <v>9</v>
      </c>
      <c r="C41" s="17">
        <f>ROUND(VLOOKUP(B$39&amp;"_2",管理者用人口入力シート!A:X,D41,FALSE),0)</f>
        <v>11</v>
      </c>
      <c r="D41" s="2">
        <v>4</v>
      </c>
      <c r="G41" s="1" t="s">
        <v>57</v>
      </c>
      <c r="H41" s="1">
        <f t="shared" ref="H41:H46" si="26">H5</f>
        <v>2015</v>
      </c>
      <c r="I41" s="17">
        <f>C25</f>
        <v>141</v>
      </c>
      <c r="J41" s="12"/>
      <c r="K41" s="12"/>
      <c r="N41" s="1" t="s">
        <v>57</v>
      </c>
      <c r="O41" s="1">
        <f t="shared" ref="O41:O46" si="27">O5</f>
        <v>2015</v>
      </c>
      <c r="P41" s="17">
        <f t="shared" ref="P41:P46" si="28">I41</f>
        <v>141</v>
      </c>
      <c r="Q41" s="17"/>
    </row>
    <row r="42" spans="1:17" x14ac:dyDescent="0.15">
      <c r="A42" s="2" t="s">
        <v>1</v>
      </c>
      <c r="B42" s="17">
        <f>ROUND(VLOOKUP(B$39&amp;"_1",管理者用人口入力シート!A:X,D42,FALSE),0)</f>
        <v>9</v>
      </c>
      <c r="C42" s="17">
        <f>ROUND(VLOOKUP(B$39&amp;"_2",管理者用人口入力シート!A:X,D42,FALSE),0)</f>
        <v>10</v>
      </c>
      <c r="D42" s="2">
        <v>5</v>
      </c>
      <c r="G42" s="1" t="s">
        <v>62</v>
      </c>
      <c r="H42" s="1">
        <f t="shared" si="26"/>
        <v>2020</v>
      </c>
      <c r="I42" s="17">
        <f>C26</f>
        <v>150</v>
      </c>
      <c r="J42" s="12"/>
      <c r="K42" s="12"/>
      <c r="N42" s="1" t="s">
        <v>62</v>
      </c>
      <c r="O42" s="1">
        <f t="shared" si="27"/>
        <v>2020</v>
      </c>
      <c r="P42" s="17">
        <f t="shared" si="28"/>
        <v>150</v>
      </c>
      <c r="Q42" s="17"/>
    </row>
    <row r="43" spans="1:17" x14ac:dyDescent="0.15">
      <c r="A43" s="2" t="s">
        <v>2</v>
      </c>
      <c r="B43" s="17">
        <f>ROUND(VLOOKUP(B$39&amp;"_1",管理者用人口入力シート!A:X,D43,FALSE),0)</f>
        <v>14</v>
      </c>
      <c r="C43" s="17">
        <f>ROUND(VLOOKUP(B$39&amp;"_2",管理者用人口入力シート!A:X,D43,FALSE),0)</f>
        <v>23</v>
      </c>
      <c r="D43" s="2">
        <v>6</v>
      </c>
      <c r="G43" s="1" t="s">
        <v>106</v>
      </c>
      <c r="H43" s="1">
        <f t="shared" si="26"/>
        <v>2025</v>
      </c>
      <c r="I43" s="17">
        <f>SUM(H84:I89)</f>
        <v>158</v>
      </c>
      <c r="J43" s="12"/>
      <c r="K43" s="12"/>
      <c r="N43" s="1" t="s">
        <v>106</v>
      </c>
      <c r="O43" s="1">
        <f t="shared" si="27"/>
        <v>2025</v>
      </c>
      <c r="P43" s="17">
        <f t="shared" si="28"/>
        <v>158</v>
      </c>
      <c r="Q43" s="17">
        <f>SUM(O84:P89)</f>
        <v>158</v>
      </c>
    </row>
    <row r="44" spans="1:17" x14ac:dyDescent="0.15">
      <c r="A44" s="2" t="s">
        <v>3</v>
      </c>
      <c r="B44" s="17">
        <f>ROUND(VLOOKUP(B$39&amp;"_1",管理者用人口入力シート!A:X,D44,FALSE),0)</f>
        <v>21</v>
      </c>
      <c r="C44" s="17">
        <f>ROUND(VLOOKUP(B$39&amp;"_2",管理者用人口入力シート!A:X,D44,FALSE),0)</f>
        <v>18</v>
      </c>
      <c r="D44" s="2">
        <v>7</v>
      </c>
      <c r="G44" s="1" t="s">
        <v>107</v>
      </c>
      <c r="H44" s="1">
        <f t="shared" si="26"/>
        <v>2030</v>
      </c>
      <c r="I44" s="17">
        <f>SUM(H108:I113)</f>
        <v>159</v>
      </c>
      <c r="J44" s="12"/>
      <c r="K44" s="12"/>
      <c r="N44" s="1" t="s">
        <v>107</v>
      </c>
      <c r="O44" s="1">
        <f t="shared" si="27"/>
        <v>2030</v>
      </c>
      <c r="P44" s="17">
        <f t="shared" si="28"/>
        <v>159</v>
      </c>
      <c r="Q44" s="17">
        <f>SUM(O108:P113)</f>
        <v>159</v>
      </c>
    </row>
    <row r="45" spans="1:17" x14ac:dyDescent="0.15">
      <c r="A45" s="2" t="s">
        <v>4</v>
      </c>
      <c r="B45" s="17">
        <f>ROUND(VLOOKUP(B$39&amp;"_1",管理者用人口入力シート!A:X,D45,FALSE),0)</f>
        <v>15</v>
      </c>
      <c r="C45" s="17">
        <f>ROUND(VLOOKUP(B$39&amp;"_2",管理者用人口入力シート!A:X,D45,FALSE),0)</f>
        <v>11</v>
      </c>
      <c r="D45" s="2">
        <v>8</v>
      </c>
      <c r="G45" s="1" t="s">
        <v>108</v>
      </c>
      <c r="H45" s="1">
        <f t="shared" si="26"/>
        <v>2035</v>
      </c>
      <c r="I45" s="17">
        <f>SUM(H132:I137)</f>
        <v>152</v>
      </c>
      <c r="J45" s="12"/>
      <c r="K45" s="12"/>
      <c r="N45" s="1" t="s">
        <v>108</v>
      </c>
      <c r="O45" s="1">
        <f t="shared" si="27"/>
        <v>2035</v>
      </c>
      <c r="P45" s="17">
        <f t="shared" si="28"/>
        <v>152</v>
      </c>
      <c r="Q45" s="17">
        <f>SUM(O132:P137)</f>
        <v>152</v>
      </c>
    </row>
    <row r="46" spans="1:17" x14ac:dyDescent="0.15">
      <c r="A46" s="2" t="s">
        <v>5</v>
      </c>
      <c r="B46" s="17">
        <f>ROUND(VLOOKUP(B$39&amp;"_1",管理者用人口入力シート!A:X,D46,FALSE),0)</f>
        <v>12</v>
      </c>
      <c r="C46" s="17">
        <f>ROUND(VLOOKUP(B$39&amp;"_2",管理者用人口入力シート!A:X,D46,FALSE),0)</f>
        <v>17</v>
      </c>
      <c r="D46" s="2">
        <v>9</v>
      </c>
      <c r="G46" s="1" t="s">
        <v>109</v>
      </c>
      <c r="H46" s="1">
        <f t="shared" si="26"/>
        <v>2040</v>
      </c>
      <c r="I46" s="17">
        <f>SUM(H156:I161)</f>
        <v>137</v>
      </c>
      <c r="J46" s="12"/>
      <c r="K46" s="12"/>
      <c r="N46" s="1" t="s">
        <v>109</v>
      </c>
      <c r="O46" s="1">
        <f t="shared" si="27"/>
        <v>2040</v>
      </c>
      <c r="P46" s="17">
        <f t="shared" si="28"/>
        <v>137</v>
      </c>
      <c r="Q46" s="17">
        <f>SUM(O156:P161)</f>
        <v>137</v>
      </c>
    </row>
    <row r="47" spans="1:17" x14ac:dyDescent="0.15">
      <c r="A47" s="2" t="s">
        <v>6</v>
      </c>
      <c r="B47" s="17">
        <f>ROUND(VLOOKUP(B$39&amp;"_1",管理者用人口入力シート!A:X,D47,FALSE),0)</f>
        <v>14</v>
      </c>
      <c r="C47" s="17">
        <f>ROUND(VLOOKUP(B$39&amp;"_2",管理者用人口入力シート!A:X,D47,FALSE),0)</f>
        <v>6</v>
      </c>
      <c r="D47" s="2">
        <v>10</v>
      </c>
    </row>
    <row r="48" spans="1:17" x14ac:dyDescent="0.15">
      <c r="A48" s="2" t="s">
        <v>7</v>
      </c>
      <c r="B48" s="17">
        <f>ROUND(VLOOKUP(B$39&amp;"_1",管理者用人口入力シート!A:X,D48,FALSE),0)</f>
        <v>11</v>
      </c>
      <c r="C48" s="17">
        <f>ROUND(VLOOKUP(B$39&amp;"_2",管理者用人口入力シート!A:X,D48,FALSE),0)</f>
        <v>22</v>
      </c>
      <c r="D48" s="2">
        <v>11</v>
      </c>
      <c r="G48" s="69" t="s">
        <v>85</v>
      </c>
      <c r="N48" s="69" t="s">
        <v>85</v>
      </c>
    </row>
    <row r="49" spans="1:17" x14ac:dyDescent="0.15">
      <c r="A49" s="2" t="s">
        <v>8</v>
      </c>
      <c r="B49" s="17">
        <f>ROUND(VLOOKUP(B$39&amp;"_1",管理者用人口入力シート!A:X,D49,FALSE),0)</f>
        <v>25</v>
      </c>
      <c r="C49" s="17">
        <f>ROUND(VLOOKUP(B$39&amp;"_2",管理者用人口入力シート!A:X,D49,FALSE),0)</f>
        <v>23</v>
      </c>
      <c r="D49" s="2">
        <v>12</v>
      </c>
      <c r="G49" s="2" t="s">
        <v>84</v>
      </c>
      <c r="H49" s="65"/>
      <c r="I49" s="66"/>
      <c r="J49" s="12"/>
      <c r="K49" s="12"/>
      <c r="N49" s="2" t="s">
        <v>84</v>
      </c>
      <c r="O49" s="65"/>
      <c r="P49" s="2" t="s">
        <v>120</v>
      </c>
      <c r="Q49" s="2" t="s">
        <v>119</v>
      </c>
    </row>
    <row r="50" spans="1:17" x14ac:dyDescent="0.15">
      <c r="A50" s="2" t="s">
        <v>9</v>
      </c>
      <c r="B50" s="17">
        <f>ROUND(VLOOKUP(B$39&amp;"_1",管理者用人口入力シート!A:X,D50,FALSE),0)</f>
        <v>26</v>
      </c>
      <c r="C50" s="17">
        <f>ROUND(VLOOKUP(B$39&amp;"_2",管理者用人口入力シート!A:X,D50,FALSE),0)</f>
        <v>26</v>
      </c>
      <c r="D50" s="2">
        <v>13</v>
      </c>
      <c r="G50" s="1" t="s">
        <v>58</v>
      </c>
      <c r="H50" s="1">
        <f>H4</f>
        <v>2010</v>
      </c>
      <c r="I50" s="38">
        <f>C30</f>
        <v>0.33</v>
      </c>
      <c r="J50" s="204"/>
      <c r="K50" s="204"/>
      <c r="N50" s="1" t="s">
        <v>58</v>
      </c>
      <c r="O50" s="1">
        <f>O4</f>
        <v>2010</v>
      </c>
      <c r="P50" s="38">
        <f t="shared" ref="P50:P56" si="29">I50</f>
        <v>0.33</v>
      </c>
      <c r="Q50" s="1"/>
    </row>
    <row r="51" spans="1:17" x14ac:dyDescent="0.15">
      <c r="A51" s="2" t="s">
        <v>10</v>
      </c>
      <c r="B51" s="17">
        <f>ROUND(VLOOKUP(B$39&amp;"_1",管理者用人口入力シート!A:X,D51,FALSE),0)</f>
        <v>27</v>
      </c>
      <c r="C51" s="17">
        <f>ROUND(VLOOKUP(B$39&amp;"_2",管理者用人口入力シート!A:X,D51,FALSE),0)</f>
        <v>32</v>
      </c>
      <c r="D51" s="2">
        <v>14</v>
      </c>
      <c r="G51" s="1" t="s">
        <v>57</v>
      </c>
      <c r="H51" s="1">
        <f t="shared" ref="H51:H56" si="30">H5</f>
        <v>2015</v>
      </c>
      <c r="I51" s="38">
        <f t="shared" ref="I51:I52" si="31">C31</f>
        <v>0.37</v>
      </c>
      <c r="J51" s="204"/>
      <c r="K51" s="204"/>
      <c r="N51" s="1" t="s">
        <v>57</v>
      </c>
      <c r="O51" s="1">
        <f t="shared" ref="O51:O56" si="32">O5</f>
        <v>2015</v>
      </c>
      <c r="P51" s="38">
        <f t="shared" si="29"/>
        <v>0.37</v>
      </c>
      <c r="Q51" s="1"/>
    </row>
    <row r="52" spans="1:17" x14ac:dyDescent="0.15">
      <c r="A52" s="2" t="s">
        <v>11</v>
      </c>
      <c r="B52" s="17">
        <f>ROUND(VLOOKUP(B$39&amp;"_1",管理者用人口入力シート!A:X,D52,FALSE),0)</f>
        <v>35</v>
      </c>
      <c r="C52" s="17">
        <f>ROUND(VLOOKUP(B$39&amp;"_2",管理者用人口入力シート!A:X,D52,FALSE),0)</f>
        <v>35</v>
      </c>
      <c r="D52" s="2">
        <v>15</v>
      </c>
      <c r="G52" s="1" t="s">
        <v>62</v>
      </c>
      <c r="H52" s="1">
        <f t="shared" si="30"/>
        <v>2020</v>
      </c>
      <c r="I52" s="38">
        <f t="shared" si="31"/>
        <v>0.42</v>
      </c>
      <c r="J52" s="204"/>
      <c r="K52" s="204"/>
      <c r="N52" s="1" t="s">
        <v>62</v>
      </c>
      <c r="O52" s="1">
        <f t="shared" si="32"/>
        <v>2020</v>
      </c>
      <c r="P52" s="38">
        <f t="shared" si="29"/>
        <v>0.42</v>
      </c>
      <c r="Q52" s="1"/>
    </row>
    <row r="53" spans="1:17" x14ac:dyDescent="0.15">
      <c r="A53" s="2" t="s">
        <v>12</v>
      </c>
      <c r="B53" s="17">
        <f>ROUND(VLOOKUP(B$39&amp;"_1",管理者用人口入力シート!A:X,D53,FALSE),0)</f>
        <v>37</v>
      </c>
      <c r="C53" s="17">
        <f>ROUND(VLOOKUP(B$39&amp;"_2",管理者用人口入力シート!A:X,D53,FALSE),0)</f>
        <v>38</v>
      </c>
      <c r="D53" s="2">
        <v>16</v>
      </c>
      <c r="G53" s="1" t="s">
        <v>106</v>
      </c>
      <c r="H53" s="1">
        <f t="shared" si="30"/>
        <v>2025</v>
      </c>
      <c r="I53" s="38">
        <f>ROUND((SUM(H82:I89)/SUM(H69:I89)),2)</f>
        <v>0.45</v>
      </c>
      <c r="J53" s="204"/>
      <c r="K53" s="204"/>
      <c r="L53" s="70"/>
      <c r="M53" s="70"/>
      <c r="N53" s="1" t="s">
        <v>106</v>
      </c>
      <c r="O53" s="1">
        <f t="shared" si="32"/>
        <v>2025</v>
      </c>
      <c r="P53" s="38">
        <f t="shared" si="29"/>
        <v>0.45</v>
      </c>
      <c r="Q53" s="38">
        <f>ROUND((SUM(O82:P89)/SUM(O69:P89)),2)</f>
        <v>0.45</v>
      </c>
    </row>
    <row r="54" spans="1:17" x14ac:dyDescent="0.15">
      <c r="A54" s="2" t="s">
        <v>13</v>
      </c>
      <c r="B54" s="17">
        <f>ROUND(VLOOKUP(B$39&amp;"_1",管理者用人口入力シート!A:X,D54,FALSE),0)</f>
        <v>24</v>
      </c>
      <c r="C54" s="17">
        <f>ROUND(VLOOKUP(B$39&amp;"_2",管理者用人口入力シート!A:X,D54,FALSE),0)</f>
        <v>36</v>
      </c>
      <c r="D54" s="2">
        <v>17</v>
      </c>
      <c r="G54" s="1" t="s">
        <v>107</v>
      </c>
      <c r="H54" s="1">
        <f t="shared" si="30"/>
        <v>2030</v>
      </c>
      <c r="I54" s="38">
        <f>ROUND((SUM(H106:I113)/SUM(H93:I113)),2)</f>
        <v>0.48</v>
      </c>
      <c r="J54" s="204"/>
      <c r="K54" s="204"/>
      <c r="N54" s="1" t="s">
        <v>107</v>
      </c>
      <c r="O54" s="1">
        <f t="shared" si="32"/>
        <v>2030</v>
      </c>
      <c r="P54" s="38">
        <f t="shared" si="29"/>
        <v>0.48</v>
      </c>
      <c r="Q54" s="38">
        <f>ROUND((SUM(O106:P113)/SUM(O93:P113)),2)</f>
        <v>0.46</v>
      </c>
    </row>
    <row r="55" spans="1:17" x14ac:dyDescent="0.15">
      <c r="A55" s="2" t="s">
        <v>14</v>
      </c>
      <c r="B55" s="17">
        <f>ROUND(VLOOKUP(B$39&amp;"_1",管理者用人口入力シート!A:X,D55,FALSE),0)</f>
        <v>31</v>
      </c>
      <c r="C55" s="17">
        <f>ROUND(VLOOKUP(B$39&amp;"_2",管理者用人口入力シート!A:X,D55,FALSE),0)</f>
        <v>29</v>
      </c>
      <c r="D55" s="2">
        <v>18</v>
      </c>
      <c r="G55" s="1" t="s">
        <v>108</v>
      </c>
      <c r="H55" s="1">
        <f t="shared" si="30"/>
        <v>2035</v>
      </c>
      <c r="I55" s="38">
        <f>ROUND((SUM(H130:I137)/SUM(H117:I137)),2)</f>
        <v>0.49</v>
      </c>
      <c r="J55" s="204"/>
      <c r="K55" s="204"/>
      <c r="N55" s="1" t="s">
        <v>108</v>
      </c>
      <c r="O55" s="1">
        <f t="shared" si="32"/>
        <v>2035</v>
      </c>
      <c r="P55" s="38">
        <f t="shared" si="29"/>
        <v>0.49</v>
      </c>
      <c r="Q55" s="38">
        <f>ROUND((SUM(O130:P137)/SUM(O117:P137)),2)</f>
        <v>0.47</v>
      </c>
    </row>
    <row r="56" spans="1:17" x14ac:dyDescent="0.15">
      <c r="A56" s="2" t="s">
        <v>15</v>
      </c>
      <c r="B56" s="17">
        <f>ROUND(VLOOKUP(B$39&amp;"_1",管理者用人口入力シート!A:X,D56,FALSE),0)</f>
        <v>30</v>
      </c>
      <c r="C56" s="17">
        <f>ROUND(VLOOKUP(B$39&amp;"_2",管理者用人口入力シート!A:X,D56,FALSE),0)</f>
        <v>36</v>
      </c>
      <c r="D56" s="2">
        <v>19</v>
      </c>
      <c r="G56" s="1" t="s">
        <v>109</v>
      </c>
      <c r="H56" s="1">
        <f t="shared" si="30"/>
        <v>2040</v>
      </c>
      <c r="I56" s="38">
        <f>ROUND((SUM(H154:I161)/SUM(H141:I161)),2)</f>
        <v>0.52</v>
      </c>
      <c r="J56" s="204"/>
      <c r="K56" s="204"/>
      <c r="N56" s="1" t="s">
        <v>109</v>
      </c>
      <c r="O56" s="1">
        <f t="shared" si="32"/>
        <v>2040</v>
      </c>
      <c r="P56" s="38">
        <f t="shared" si="29"/>
        <v>0.52</v>
      </c>
      <c r="Q56" s="38">
        <f>ROUND((SUM(O154:P161)/SUM(O141:P161)),2)</f>
        <v>0.48</v>
      </c>
    </row>
    <row r="57" spans="1:17" x14ac:dyDescent="0.15">
      <c r="A57" s="2" t="s">
        <v>16</v>
      </c>
      <c r="B57" s="17">
        <f>ROUND(VLOOKUP(B$39&amp;"_1",管理者用人口入力シート!A:X,D57,FALSE),0)</f>
        <v>21</v>
      </c>
      <c r="C57" s="17">
        <f>ROUND(VLOOKUP(B$39&amp;"_2",管理者用人口入力シート!A:X,D57,FALSE),0)</f>
        <v>23</v>
      </c>
      <c r="D57" s="2">
        <v>20</v>
      </c>
      <c r="G57" s="2" t="s">
        <v>111</v>
      </c>
      <c r="H57" s="65"/>
      <c r="I57" s="66"/>
      <c r="J57" s="12"/>
      <c r="K57" s="12"/>
      <c r="N57" s="2" t="s">
        <v>111</v>
      </c>
      <c r="O57" s="65"/>
      <c r="P57" s="2" t="s">
        <v>120</v>
      </c>
      <c r="Q57" s="2" t="s">
        <v>119</v>
      </c>
    </row>
    <row r="58" spans="1:17" x14ac:dyDescent="0.15">
      <c r="A58" s="2" t="s">
        <v>17</v>
      </c>
      <c r="B58" s="17">
        <f>ROUND(VLOOKUP(B$39&amp;"_1",管理者用人口入力シート!A:X,D58,FALSE),0)</f>
        <v>3</v>
      </c>
      <c r="C58" s="17">
        <f>ROUND(VLOOKUP(B$39&amp;"_2",管理者用人口入力シート!A:X,D58,FALSE),0)</f>
        <v>13</v>
      </c>
      <c r="D58" s="2">
        <v>21</v>
      </c>
      <c r="G58" s="1" t="s">
        <v>58</v>
      </c>
      <c r="H58" s="1">
        <f>H4</f>
        <v>2010</v>
      </c>
      <c r="I58" s="38">
        <f>C34</f>
        <v>0.17</v>
      </c>
      <c r="J58" s="204"/>
      <c r="K58" s="204"/>
      <c r="N58" s="1" t="s">
        <v>58</v>
      </c>
      <c r="O58" s="1">
        <f>O4</f>
        <v>2010</v>
      </c>
      <c r="P58" s="38">
        <f t="shared" ref="P58:P64" si="33">I58</f>
        <v>0.17</v>
      </c>
      <c r="Q58" s="1"/>
    </row>
    <row r="59" spans="1:17" x14ac:dyDescent="0.15">
      <c r="A59" s="2" t="s">
        <v>18</v>
      </c>
      <c r="B59" s="17">
        <f>ROUND(VLOOKUP(B$39&amp;"_1",管理者用人口入力シート!A:X,D59,FALSE),0)</f>
        <v>3</v>
      </c>
      <c r="C59" s="17">
        <f>ROUND(VLOOKUP(B$39&amp;"_2",管理者用人口入力シート!A:X,D59,FALSE),0)</f>
        <v>6</v>
      </c>
      <c r="D59" s="2">
        <v>22</v>
      </c>
      <c r="G59" s="1" t="s">
        <v>57</v>
      </c>
      <c r="H59" s="1">
        <f t="shared" ref="H59:H64" si="34">H5</f>
        <v>2015</v>
      </c>
      <c r="I59" s="38">
        <f t="shared" ref="I59:I60" si="35">C35</f>
        <v>0.19</v>
      </c>
      <c r="J59" s="204"/>
      <c r="K59" s="204"/>
      <c r="N59" s="1" t="s">
        <v>57</v>
      </c>
      <c r="O59" s="1">
        <f t="shared" ref="O59:O64" si="36">O5</f>
        <v>2015</v>
      </c>
      <c r="P59" s="38">
        <f t="shared" si="33"/>
        <v>0.19</v>
      </c>
      <c r="Q59" s="1"/>
    </row>
    <row r="60" spans="1:17" x14ac:dyDescent="0.15">
      <c r="A60" s="2" t="s">
        <v>19</v>
      </c>
      <c r="B60" s="17">
        <f>ROUND(VLOOKUP(B$39&amp;"_1",管理者用人口入力シート!A:X,D60,FALSE),0)</f>
        <v>0</v>
      </c>
      <c r="C60" s="17">
        <f>ROUND(VLOOKUP(B$39&amp;"_2",管理者用人口入力シート!A:X,D60,FALSE),0)</f>
        <v>1</v>
      </c>
      <c r="D60" s="2">
        <v>23</v>
      </c>
      <c r="G60" s="1" t="s">
        <v>62</v>
      </c>
      <c r="H60" s="1">
        <f t="shared" si="34"/>
        <v>2020</v>
      </c>
      <c r="I60" s="38">
        <f t="shared" si="35"/>
        <v>0.22</v>
      </c>
      <c r="J60" s="204"/>
      <c r="K60" s="204"/>
      <c r="N60" s="1" t="s">
        <v>62</v>
      </c>
      <c r="O60" s="1">
        <f t="shared" si="36"/>
        <v>2020</v>
      </c>
      <c r="P60" s="38">
        <f t="shared" si="33"/>
        <v>0.22</v>
      </c>
      <c r="Q60" s="1"/>
    </row>
    <row r="61" spans="1:17" x14ac:dyDescent="0.15">
      <c r="A61" s="2" t="s">
        <v>20</v>
      </c>
      <c r="B61" s="17">
        <f>ROUND(VLOOKUP(B$39&amp;"_1",管理者用人口入力シート!A:X,D61,FALSE),0)</f>
        <v>0</v>
      </c>
      <c r="C61" s="17">
        <f>ROUND(VLOOKUP(B$39&amp;"_2",管理者用人口入力シート!A:X,D61,FALSE),0)</f>
        <v>0</v>
      </c>
      <c r="D61" s="2">
        <v>24</v>
      </c>
      <c r="G61" s="1" t="s">
        <v>106</v>
      </c>
      <c r="H61" s="1">
        <f t="shared" si="34"/>
        <v>2025</v>
      </c>
      <c r="I61" s="38">
        <f>ROUND((SUM(H84:I89)/SUM(H69:I89)),2)</f>
        <v>0.25</v>
      </c>
      <c r="J61" s="204"/>
      <c r="K61" s="204"/>
      <c r="N61" s="1" t="s">
        <v>106</v>
      </c>
      <c r="O61" s="1">
        <f t="shared" si="36"/>
        <v>2025</v>
      </c>
      <c r="P61" s="38">
        <f t="shared" si="33"/>
        <v>0.25</v>
      </c>
      <c r="Q61" s="38">
        <f>ROUND((SUM(O84:P89)/SUM(O69:P89)),2)</f>
        <v>0.25</v>
      </c>
    </row>
    <row r="62" spans="1:17" x14ac:dyDescent="0.15">
      <c r="G62" s="1" t="s">
        <v>107</v>
      </c>
      <c r="H62" s="1">
        <f t="shared" si="34"/>
        <v>2030</v>
      </c>
      <c r="I62" s="38">
        <f>ROUND((SUM(H108:I113)/SUM(H93:I113)),2)</f>
        <v>0.28000000000000003</v>
      </c>
      <c r="J62" s="204"/>
      <c r="K62" s="204"/>
      <c r="N62" s="1" t="s">
        <v>107</v>
      </c>
      <c r="O62" s="1">
        <f t="shared" si="36"/>
        <v>2030</v>
      </c>
      <c r="P62" s="38">
        <f t="shared" si="33"/>
        <v>0.28000000000000003</v>
      </c>
      <c r="Q62" s="38">
        <f>ROUND((SUM(O108:P113)/SUM(O93:P113)),2)</f>
        <v>0.27</v>
      </c>
    </row>
    <row r="63" spans="1:17" x14ac:dyDescent="0.15">
      <c r="A63" s="2" t="s">
        <v>384</v>
      </c>
      <c r="B63" s="315">
        <f>管理者入力シート!B6</f>
        <v>2015</v>
      </c>
      <c r="C63" s="316"/>
      <c r="D63" s="2" t="s">
        <v>114</v>
      </c>
      <c r="G63" s="1" t="s">
        <v>108</v>
      </c>
      <c r="H63" s="1">
        <f t="shared" si="34"/>
        <v>2035</v>
      </c>
      <c r="I63" s="38">
        <f>ROUND((SUM(H132:I137)/SUM(H117:I137)),2)</f>
        <v>0.3</v>
      </c>
      <c r="J63" s="204"/>
      <c r="K63" s="204"/>
      <c r="N63" s="1" t="s">
        <v>108</v>
      </c>
      <c r="O63" s="1">
        <f t="shared" si="36"/>
        <v>2035</v>
      </c>
      <c r="P63" s="38">
        <f t="shared" si="33"/>
        <v>0.3</v>
      </c>
      <c r="Q63" s="38">
        <f>ROUND((SUM(O132:P137)/SUM(O117:P137)),2)</f>
        <v>0.28999999999999998</v>
      </c>
    </row>
    <row r="64" spans="1:17" x14ac:dyDescent="0.15">
      <c r="A64" s="2" t="s">
        <v>115</v>
      </c>
      <c r="B64" s="18" t="s">
        <v>21</v>
      </c>
      <c r="C64" s="18" t="s">
        <v>22</v>
      </c>
      <c r="G64" s="1" t="s">
        <v>109</v>
      </c>
      <c r="H64" s="1">
        <f t="shared" si="34"/>
        <v>2040</v>
      </c>
      <c r="I64" s="38">
        <f>ROUND((SUM(H156:I161)/SUM(H141:I161)),2)</f>
        <v>0.31</v>
      </c>
      <c r="J64" s="204"/>
      <c r="K64" s="204"/>
      <c r="N64" s="1" t="s">
        <v>109</v>
      </c>
      <c r="O64" s="1">
        <f t="shared" si="36"/>
        <v>2040</v>
      </c>
      <c r="P64" s="38">
        <f t="shared" si="33"/>
        <v>0.31</v>
      </c>
      <c r="Q64" s="38">
        <f>ROUND((SUM(O156:P161)/SUM(O141:P161)),2)</f>
        <v>0.28999999999999998</v>
      </c>
    </row>
    <row r="65" spans="1:21" x14ac:dyDescent="0.15">
      <c r="A65" s="2" t="s">
        <v>0</v>
      </c>
      <c r="B65" s="17">
        <f>ROUND(VLOOKUP(B$63&amp;"_1",管理者用人口入力シート!A:X,D65,FALSE),0)</f>
        <v>21</v>
      </c>
      <c r="C65" s="17">
        <f>ROUND(VLOOKUP(B$63&amp;"_2",管理者用人口入力シート!A:X,D65,FALSE),0)</f>
        <v>16</v>
      </c>
      <c r="D65" s="2">
        <v>4</v>
      </c>
    </row>
    <row r="66" spans="1:21" x14ac:dyDescent="0.15">
      <c r="A66" s="2" t="s">
        <v>1</v>
      </c>
      <c r="B66" s="17">
        <f>ROUND(VLOOKUP(B$63&amp;"_1",管理者用人口入力シート!A:X,D66,FALSE),0)</f>
        <v>18</v>
      </c>
      <c r="C66" s="17">
        <f>ROUND(VLOOKUP(B$63&amp;"_2",管理者用人口入力シート!A:X,D66,FALSE),0)</f>
        <v>14</v>
      </c>
      <c r="D66" s="2">
        <v>5</v>
      </c>
      <c r="G66" s="69" t="s">
        <v>113</v>
      </c>
      <c r="N66" s="69" t="s">
        <v>113</v>
      </c>
    </row>
    <row r="67" spans="1:21" x14ac:dyDescent="0.15">
      <c r="A67" s="2" t="s">
        <v>2</v>
      </c>
      <c r="B67" s="17">
        <f>ROUND(VLOOKUP(B$63&amp;"_1",管理者用人口入力シート!A:X,D67,FALSE),0)</f>
        <v>11</v>
      </c>
      <c r="C67" s="17">
        <f>ROUND(VLOOKUP(B$63&amp;"_2",管理者用人口入力シート!A:X,D67,FALSE),0)</f>
        <v>9</v>
      </c>
      <c r="D67" s="2">
        <v>6</v>
      </c>
      <c r="G67" s="2" t="s">
        <v>106</v>
      </c>
      <c r="H67" s="315">
        <f>管理者入力シート!B8</f>
        <v>2025</v>
      </c>
      <c r="I67" s="316"/>
      <c r="J67" s="2" t="s">
        <v>114</v>
      </c>
      <c r="K67" s="208"/>
      <c r="O67" s="315">
        <f>管理者入力シート!B8</f>
        <v>2025</v>
      </c>
      <c r="P67" s="316"/>
      <c r="Q67" s="2" t="s">
        <v>114</v>
      </c>
    </row>
    <row r="68" spans="1:21" x14ac:dyDescent="0.15">
      <c r="A68" s="2" t="s">
        <v>3</v>
      </c>
      <c r="B68" s="17">
        <f>ROUND(VLOOKUP(B$63&amp;"_1",管理者用人口入力シート!A:X,D68,FALSE),0)</f>
        <v>9</v>
      </c>
      <c r="C68" s="17">
        <f>ROUND(VLOOKUP(B$63&amp;"_2",管理者用人口入力シート!A:X,D68,FALSE),0)</f>
        <v>20</v>
      </c>
      <c r="D68" s="2">
        <v>7</v>
      </c>
      <c r="G68" s="2" t="s">
        <v>115</v>
      </c>
      <c r="H68" s="18" t="s">
        <v>243</v>
      </c>
      <c r="I68" s="18" t="s">
        <v>244</v>
      </c>
      <c r="K68" s="208"/>
      <c r="N68" s="2" t="s">
        <v>115</v>
      </c>
      <c r="O68" s="18" t="s">
        <v>21</v>
      </c>
      <c r="P68" s="18" t="s">
        <v>22</v>
      </c>
    </row>
    <row r="69" spans="1:21" x14ac:dyDescent="0.15">
      <c r="A69" s="2" t="s">
        <v>4</v>
      </c>
      <c r="B69" s="17">
        <f>ROUND(VLOOKUP(B$63&amp;"_1",管理者用人口入力シート!A:X,D69,FALSE),0)</f>
        <v>11</v>
      </c>
      <c r="C69" s="17">
        <f>ROUND(VLOOKUP(B$63&amp;"_2",管理者用人口入力シート!A:X,D69,FALSE),0)</f>
        <v>13</v>
      </c>
      <c r="D69" s="2">
        <v>8</v>
      </c>
      <c r="G69" s="2" t="s">
        <v>0</v>
      </c>
      <c r="H69" s="17">
        <f>ROUND(VLOOKUP(H$67&amp;"_1",管理者用人口入力シート!BH:CE,J69,FALSE),0)</f>
        <v>5</v>
      </c>
      <c r="I69" s="17">
        <f>ROUND(VLOOKUP(H$67&amp;"_2",管理者用人口入力シート!BH:CE,J69,FALSE),0)</f>
        <v>12</v>
      </c>
      <c r="J69" s="2">
        <v>4</v>
      </c>
      <c r="K69" s="12"/>
      <c r="N69" s="2" t="s">
        <v>0</v>
      </c>
      <c r="O69" s="17">
        <f>ROUND(VLOOKUP(O$67&amp;"_1",管理者用人口入力シート!CO:DL,Q69,FALSE),0)</f>
        <v>6</v>
      </c>
      <c r="P69" s="17">
        <f>ROUND(VLOOKUP(O$67&amp;"_2",管理者用人口入力シート!CO:DL,Q69,FALSE),0)</f>
        <v>13</v>
      </c>
      <c r="Q69" s="2">
        <v>4</v>
      </c>
      <c r="U69" s="85"/>
    </row>
    <row r="70" spans="1:21" x14ac:dyDescent="0.15">
      <c r="A70" s="2" t="s">
        <v>5</v>
      </c>
      <c r="B70" s="17">
        <f>ROUND(VLOOKUP(B$63&amp;"_1",管理者用人口入力シート!A:X,D70,FALSE),0)</f>
        <v>8</v>
      </c>
      <c r="C70" s="17">
        <f>ROUND(VLOOKUP(B$63&amp;"_2",管理者用人口入力シート!A:X,D70,FALSE),0)</f>
        <v>10</v>
      </c>
      <c r="D70" s="2">
        <v>9</v>
      </c>
      <c r="G70" s="2" t="s">
        <v>1</v>
      </c>
      <c r="H70" s="17">
        <f>ROUND(VLOOKUP(H$67&amp;"_1",管理者用人口入力シート!BH:CE,J70,FALSE),0)</f>
        <v>9</v>
      </c>
      <c r="I70" s="17">
        <f>ROUND(VLOOKUP(H$67&amp;"_2",管理者用人口入力シート!BH:CE,J70,FALSE),0)</f>
        <v>16</v>
      </c>
      <c r="J70" s="2">
        <v>5</v>
      </c>
      <c r="K70" s="12"/>
      <c r="N70" s="2" t="s">
        <v>1</v>
      </c>
      <c r="O70" s="17">
        <f>ROUND(VLOOKUP(O$67&amp;"_1",管理者用人口入力シート!CO:DL,Q70,FALSE),0)</f>
        <v>9</v>
      </c>
      <c r="P70" s="17">
        <f>ROUND(VLOOKUP(O$67&amp;"_2",管理者用人口入力シート!CO:DL,Q70,FALSE),0)</f>
        <v>16</v>
      </c>
      <c r="Q70" s="2">
        <v>5</v>
      </c>
      <c r="U70" s="85"/>
    </row>
    <row r="71" spans="1:21" x14ac:dyDescent="0.15">
      <c r="A71" s="2" t="s">
        <v>6</v>
      </c>
      <c r="B71" s="17">
        <f>ROUND(VLOOKUP(B$63&amp;"_1",管理者用人口入力シート!A:X,D71,FALSE),0)</f>
        <v>14</v>
      </c>
      <c r="C71" s="17">
        <f>ROUND(VLOOKUP(B$63&amp;"_2",管理者用人口入力シート!A:X,D71,FALSE),0)</f>
        <v>16</v>
      </c>
      <c r="D71" s="2">
        <v>10</v>
      </c>
      <c r="G71" s="2" t="s">
        <v>2</v>
      </c>
      <c r="H71" s="17">
        <f>ROUND(VLOOKUP(H$67&amp;"_1",管理者用人口入力シート!BH:CE,J71,FALSE),0)</f>
        <v>18</v>
      </c>
      <c r="I71" s="17">
        <f>ROUND(VLOOKUP(H$67&amp;"_2",管理者用人口入力シート!BH:CE,J71,FALSE),0)</f>
        <v>11</v>
      </c>
      <c r="J71" s="2">
        <v>6</v>
      </c>
      <c r="K71" s="12"/>
      <c r="N71" s="2" t="s">
        <v>2</v>
      </c>
      <c r="O71" s="17">
        <f>ROUND(VLOOKUP(O$67&amp;"_1",管理者用人口入力シート!CO:DL,Q71,FALSE),0)</f>
        <v>19</v>
      </c>
      <c r="P71" s="17">
        <f>ROUND(VLOOKUP(O$67&amp;"_2",管理者用人口入力シート!CO:DL,Q71,FALSE),0)</f>
        <v>12</v>
      </c>
      <c r="Q71" s="2">
        <v>6</v>
      </c>
      <c r="U71" s="85"/>
    </row>
    <row r="72" spans="1:21" x14ac:dyDescent="0.15">
      <c r="A72" s="2" t="s">
        <v>7</v>
      </c>
      <c r="B72" s="17">
        <f>ROUND(VLOOKUP(B$63&amp;"_1",管理者用人口入力シート!A:X,D72,FALSE),0)</f>
        <v>15</v>
      </c>
      <c r="C72" s="17">
        <f>ROUND(VLOOKUP(B$63&amp;"_2",管理者用人口入力シート!A:X,D72,FALSE),0)</f>
        <v>14</v>
      </c>
      <c r="D72" s="2">
        <v>11</v>
      </c>
      <c r="G72" s="2" t="s">
        <v>3</v>
      </c>
      <c r="H72" s="17">
        <f>ROUND(VLOOKUP(H$67&amp;"_1",管理者用人口入力シート!BH:CE,J72,FALSE),0)</f>
        <v>13</v>
      </c>
      <c r="I72" s="17">
        <f>ROUND(VLOOKUP(H$67&amp;"_2",管理者用人口入力シート!BH:CE,J72,FALSE),0)</f>
        <v>13</v>
      </c>
      <c r="J72" s="2">
        <v>7</v>
      </c>
      <c r="K72" s="12"/>
      <c r="N72" s="2" t="s">
        <v>3</v>
      </c>
      <c r="O72" s="17">
        <f>ROUND(VLOOKUP(O$67&amp;"_1",管理者用人口入力シート!CO:DL,Q72,FALSE),0)</f>
        <v>13</v>
      </c>
      <c r="P72" s="17">
        <f>ROUND(VLOOKUP(O$67&amp;"_2",管理者用人口入力シート!CO:DL,Q72,FALSE),0)</f>
        <v>13</v>
      </c>
      <c r="Q72" s="2">
        <v>7</v>
      </c>
      <c r="U72" s="85"/>
    </row>
    <row r="73" spans="1:21" x14ac:dyDescent="0.15">
      <c r="A73" s="2" t="s">
        <v>8</v>
      </c>
      <c r="B73" s="17">
        <f>ROUND(VLOOKUP(B$63&amp;"_1",管理者用人口入力シート!A:X,D73,FALSE),0)</f>
        <v>21</v>
      </c>
      <c r="C73" s="17">
        <f>ROUND(VLOOKUP(B$63&amp;"_2",管理者用人口入力シート!A:X,D73,FALSE),0)</f>
        <v>24</v>
      </c>
      <c r="D73" s="2">
        <v>12</v>
      </c>
      <c r="G73" s="2" t="s">
        <v>4</v>
      </c>
      <c r="H73" s="17">
        <f>ROUND(VLOOKUP(H$67&amp;"_1",管理者用人口入力シート!BH:CE,J73,FALSE),0)</f>
        <v>4</v>
      </c>
      <c r="I73" s="17">
        <f>ROUND(VLOOKUP(H$67&amp;"_2",管理者用人口入力シート!BH:CE,J73,FALSE),0)</f>
        <v>8</v>
      </c>
      <c r="J73" s="2">
        <v>8</v>
      </c>
      <c r="K73" s="12"/>
      <c r="N73" s="2" t="s">
        <v>4</v>
      </c>
      <c r="O73" s="17">
        <f>ROUND(VLOOKUP(O$67&amp;"_1",管理者用人口入力シート!CO:DL,Q73,FALSE),0)</f>
        <v>4</v>
      </c>
      <c r="P73" s="17">
        <f>ROUND(VLOOKUP(O$67&amp;"_2",管理者用人口入力シート!CO:DL,Q73,FALSE),0)</f>
        <v>8</v>
      </c>
      <c r="Q73" s="2">
        <v>8</v>
      </c>
      <c r="U73" s="85"/>
    </row>
    <row r="74" spans="1:21" x14ac:dyDescent="0.15">
      <c r="A74" s="2" t="s">
        <v>9</v>
      </c>
      <c r="B74" s="17">
        <f>ROUND(VLOOKUP(B$63&amp;"_1",管理者用人口入力シート!A:X,D74,FALSE),0)</f>
        <v>21</v>
      </c>
      <c r="C74" s="17">
        <f>ROUND(VLOOKUP(B$63&amp;"_2",管理者用人口入力シート!A:X,D74,FALSE),0)</f>
        <v>20</v>
      </c>
      <c r="D74" s="2">
        <v>13</v>
      </c>
      <c r="G74" s="2" t="s">
        <v>5</v>
      </c>
      <c r="H74" s="17">
        <f>ROUND(VLOOKUP(H$67&amp;"_1",管理者用人口入力シート!BH:CE,J74,FALSE),0)</f>
        <v>3</v>
      </c>
      <c r="I74" s="17">
        <f>ROUND(VLOOKUP(H$67&amp;"_2",管理者用人口入力シート!BH:CE,J74,FALSE),0)</f>
        <v>9</v>
      </c>
      <c r="J74" s="2">
        <v>9</v>
      </c>
      <c r="K74" s="12"/>
      <c r="N74" s="2" t="s">
        <v>5</v>
      </c>
      <c r="O74" s="17">
        <f>ROUND(VLOOKUP(O$67&amp;"_1",管理者用人口入力シート!CO:DL,Q74,FALSE),0)</f>
        <v>5</v>
      </c>
      <c r="P74" s="17">
        <f>ROUND(VLOOKUP(O$67&amp;"_2",管理者用人口入力シート!CO:DL,Q74,FALSE),0)</f>
        <v>11</v>
      </c>
      <c r="Q74" s="2">
        <v>9</v>
      </c>
      <c r="U74" s="85"/>
    </row>
    <row r="75" spans="1:21" x14ac:dyDescent="0.15">
      <c r="A75" s="2" t="s">
        <v>10</v>
      </c>
      <c r="B75" s="17">
        <f>ROUND(VLOOKUP(B$63&amp;"_1",管理者用人口入力シート!A:X,D75,FALSE),0)</f>
        <v>24</v>
      </c>
      <c r="C75" s="17">
        <f>ROUND(VLOOKUP(B$63&amp;"_2",管理者用人口入力シート!A:X,D75,FALSE),0)</f>
        <v>24</v>
      </c>
      <c r="D75" s="2">
        <v>14</v>
      </c>
      <c r="G75" s="2" t="s">
        <v>6</v>
      </c>
      <c r="H75" s="17">
        <f>ROUND(VLOOKUP(H$67&amp;"_1",管理者用人口入力シート!BH:CE,J75,FALSE),0)</f>
        <v>5</v>
      </c>
      <c r="I75" s="17">
        <f>ROUND(VLOOKUP(H$67&amp;"_2",管理者用人口入力シート!BH:CE,J75,FALSE),0)</f>
        <v>6</v>
      </c>
      <c r="J75" s="2">
        <v>10</v>
      </c>
      <c r="K75" s="12"/>
      <c r="N75" s="2" t="s">
        <v>6</v>
      </c>
      <c r="O75" s="17">
        <f>ROUND(VLOOKUP(O$67&amp;"_1",管理者用人口入力シート!CO:DL,Q75,FALSE),0)</f>
        <v>5</v>
      </c>
      <c r="P75" s="17">
        <f>ROUND(VLOOKUP(O$67&amp;"_2",管理者用人口入力シート!CO:DL,Q75,FALSE),0)</f>
        <v>6</v>
      </c>
      <c r="Q75" s="2">
        <v>10</v>
      </c>
      <c r="U75" s="85"/>
    </row>
    <row r="76" spans="1:21" x14ac:dyDescent="0.15">
      <c r="A76" s="2" t="s">
        <v>11</v>
      </c>
      <c r="B76" s="17">
        <f>ROUND(VLOOKUP(B$63&amp;"_1",管理者用人口入力シート!A:X,D76,FALSE),0)</f>
        <v>23</v>
      </c>
      <c r="C76" s="17">
        <f>ROUND(VLOOKUP(B$63&amp;"_2",管理者用人口入力シート!A:X,D76,FALSE),0)</f>
        <v>26</v>
      </c>
      <c r="D76" s="2">
        <v>15</v>
      </c>
      <c r="G76" s="2" t="s">
        <v>7</v>
      </c>
      <c r="H76" s="17">
        <f>ROUND(VLOOKUP(H$67&amp;"_1",管理者用人口入力シート!BH:CE,J76,FALSE),0)</f>
        <v>3</v>
      </c>
      <c r="I76" s="17">
        <f>ROUND(VLOOKUP(H$67&amp;"_2",管理者用人口入力シート!BH:CE,J76,FALSE),0)</f>
        <v>9</v>
      </c>
      <c r="J76" s="2">
        <v>11</v>
      </c>
      <c r="K76" s="12"/>
      <c r="N76" s="2" t="s">
        <v>7</v>
      </c>
      <c r="O76" s="17">
        <f>ROUND(VLOOKUP(O$67&amp;"_1",管理者用人口入力シート!CO:DL,Q76,FALSE),0)</f>
        <v>3</v>
      </c>
      <c r="P76" s="17">
        <f>ROUND(VLOOKUP(O$67&amp;"_2",管理者用人口入力シート!CO:DL,Q76,FALSE),0)</f>
        <v>9</v>
      </c>
      <c r="Q76" s="2">
        <v>11</v>
      </c>
      <c r="U76" s="85"/>
    </row>
    <row r="77" spans="1:21" x14ac:dyDescent="0.15">
      <c r="A77" s="2" t="s">
        <v>12</v>
      </c>
      <c r="B77" s="17">
        <f>ROUND(VLOOKUP(B$63&amp;"_1",管理者用人口入力シート!A:X,D77,FALSE),0)</f>
        <v>33</v>
      </c>
      <c r="C77" s="17">
        <f>ROUND(VLOOKUP(B$63&amp;"_2",管理者用人口入力シート!A:X,D77,FALSE),0)</f>
        <v>39</v>
      </c>
      <c r="D77" s="2">
        <v>16</v>
      </c>
      <c r="G77" s="2" t="s">
        <v>8</v>
      </c>
      <c r="H77" s="17">
        <f>ROUND(VLOOKUP(H$67&amp;"_1",管理者用人口入力シート!BH:CE,J77,FALSE),0)</f>
        <v>22</v>
      </c>
      <c r="I77" s="17">
        <f>ROUND(VLOOKUP(H$67&amp;"_2",管理者用人口入力シート!BH:CE,J77,FALSE),0)</f>
        <v>17</v>
      </c>
      <c r="J77" s="2">
        <v>12</v>
      </c>
      <c r="K77" s="12"/>
      <c r="N77" s="2" t="s">
        <v>8</v>
      </c>
      <c r="O77" s="17">
        <f>ROUND(VLOOKUP(O$67&amp;"_1",管理者用人口入力シート!CO:DL,Q77,FALSE),0)</f>
        <v>22</v>
      </c>
      <c r="P77" s="17">
        <f>ROUND(VLOOKUP(O$67&amp;"_2",管理者用人口入力シート!CO:DL,Q77,FALSE),0)</f>
        <v>18</v>
      </c>
      <c r="Q77" s="2">
        <v>12</v>
      </c>
      <c r="U77" s="85"/>
    </row>
    <row r="78" spans="1:21" x14ac:dyDescent="0.15">
      <c r="A78" s="2" t="s">
        <v>13</v>
      </c>
      <c r="B78" s="17">
        <f>ROUND(VLOOKUP(B$63&amp;"_1",管理者用人口入力シート!A:X,D78,FALSE),0)</f>
        <v>40</v>
      </c>
      <c r="C78" s="17">
        <f>ROUND(VLOOKUP(B$63&amp;"_2",管理者用人口入力シート!A:X,D78,FALSE),0)</f>
        <v>40</v>
      </c>
      <c r="D78" s="2">
        <v>17</v>
      </c>
      <c r="G78" s="2" t="s">
        <v>9</v>
      </c>
      <c r="H78" s="17">
        <f>ROUND(VLOOKUP(H$67&amp;"_1",管理者用人口入力シート!BH:CE,J78,FALSE),0)</f>
        <v>15</v>
      </c>
      <c r="I78" s="17">
        <f>ROUND(VLOOKUP(H$67&amp;"_2",管理者用人口入力シート!BH:CE,J78,FALSE),0)</f>
        <v>12</v>
      </c>
      <c r="J78" s="2">
        <v>13</v>
      </c>
      <c r="K78" s="12"/>
      <c r="N78" s="2" t="s">
        <v>9</v>
      </c>
      <c r="O78" s="17">
        <f>ROUND(VLOOKUP(O$67&amp;"_1",管理者用人口入力シート!CO:DL,Q78,FALSE),0)</f>
        <v>15</v>
      </c>
      <c r="P78" s="17">
        <f>ROUND(VLOOKUP(O$67&amp;"_2",管理者用人口入力シート!CO:DL,Q78,FALSE),0)</f>
        <v>12</v>
      </c>
      <c r="Q78" s="2">
        <v>13</v>
      </c>
      <c r="U78" s="85"/>
    </row>
    <row r="79" spans="1:21" x14ac:dyDescent="0.15">
      <c r="A79" s="2" t="s">
        <v>14</v>
      </c>
      <c r="B79" s="17">
        <f>ROUND(VLOOKUP(B$63&amp;"_1",管理者用人口入力シート!A:X,D79,FALSE),0)</f>
        <v>23</v>
      </c>
      <c r="C79" s="17">
        <f>ROUND(VLOOKUP(B$63&amp;"_2",管理者用人口入力シート!A:X,D79,FALSE),0)</f>
        <v>37</v>
      </c>
      <c r="D79" s="2">
        <v>18</v>
      </c>
      <c r="G79" s="2" t="s">
        <v>10</v>
      </c>
      <c r="H79" s="17">
        <f>ROUND(VLOOKUP(H$67&amp;"_1",管理者用人口入力シート!BH:CE,J79,FALSE),0)</f>
        <v>23</v>
      </c>
      <c r="I79" s="17">
        <f>ROUND(VLOOKUP(H$67&amp;"_2",管理者用人口入力シート!BH:CE,J79,FALSE),0)</f>
        <v>23</v>
      </c>
      <c r="J79" s="2">
        <v>14</v>
      </c>
      <c r="K79" s="12"/>
      <c r="N79" s="2" t="s">
        <v>10</v>
      </c>
      <c r="O79" s="17">
        <f>ROUND(VLOOKUP(O$67&amp;"_1",管理者用人口入力シート!CO:DL,Q79,FALSE),0)</f>
        <v>23</v>
      </c>
      <c r="P79" s="17">
        <f>ROUND(VLOOKUP(O$67&amp;"_2",管理者用人口入力シート!CO:DL,Q79,FALSE),0)</f>
        <v>23</v>
      </c>
      <c r="Q79" s="2">
        <v>14</v>
      </c>
      <c r="U79" s="85"/>
    </row>
    <row r="80" spans="1:21" x14ac:dyDescent="0.15">
      <c r="A80" s="2" t="s">
        <v>15</v>
      </c>
      <c r="B80" s="17">
        <f>ROUND(VLOOKUP(B$63&amp;"_1",管理者用人口入力シート!A:X,D80,FALSE),0)</f>
        <v>26</v>
      </c>
      <c r="C80" s="17">
        <f>ROUND(VLOOKUP(B$63&amp;"_2",管理者用人口入力シート!A:X,D80,FALSE),0)</f>
        <v>26</v>
      </c>
      <c r="D80" s="2">
        <v>19</v>
      </c>
      <c r="G80" s="2" t="s">
        <v>11</v>
      </c>
      <c r="H80" s="17">
        <f>ROUND(VLOOKUP(H$67&amp;"_1",管理者用人口入力シート!BH:CE,J80,FALSE),0)</f>
        <v>19</v>
      </c>
      <c r="I80" s="17">
        <f>ROUND(VLOOKUP(H$67&amp;"_2",管理者用人口入力シート!BH:CE,J80,FALSE),0)</f>
        <v>21</v>
      </c>
      <c r="J80" s="2">
        <v>15</v>
      </c>
      <c r="K80" s="12"/>
      <c r="N80" s="2" t="s">
        <v>11</v>
      </c>
      <c r="O80" s="17">
        <f>ROUND(VLOOKUP(O$67&amp;"_1",管理者用人口入力シート!CO:DL,Q80,FALSE),0)</f>
        <v>19</v>
      </c>
      <c r="P80" s="17">
        <f>ROUND(VLOOKUP(O$67&amp;"_2",管理者用人口入力シート!CO:DL,Q80,FALSE),0)</f>
        <v>21</v>
      </c>
      <c r="Q80" s="2">
        <v>15</v>
      </c>
      <c r="U80" s="85"/>
    </row>
    <row r="81" spans="1:21" x14ac:dyDescent="0.15">
      <c r="A81" s="2" t="s">
        <v>16</v>
      </c>
      <c r="B81" s="17">
        <f>ROUND(VLOOKUP(B$63&amp;"_1",管理者用人口入力シート!A:X,D81,FALSE),0)</f>
        <v>24</v>
      </c>
      <c r="C81" s="17">
        <f>ROUND(VLOOKUP(B$63&amp;"_2",管理者用人口入力シート!A:X,D81,FALSE),0)</f>
        <v>24</v>
      </c>
      <c r="D81" s="2">
        <v>20</v>
      </c>
      <c r="G81" s="2" t="s">
        <v>12</v>
      </c>
      <c r="H81" s="17">
        <f>ROUND(VLOOKUP(H$67&amp;"_1",管理者用人口入力シート!BH:CE,J81,FALSE),0)</f>
        <v>24</v>
      </c>
      <c r="I81" s="17">
        <f>ROUND(VLOOKUP(H$67&amp;"_2",管理者用人口入力シート!BH:CE,J81,FALSE),0)</f>
        <v>27</v>
      </c>
      <c r="J81" s="2">
        <v>16</v>
      </c>
      <c r="K81" s="12"/>
      <c r="N81" s="2" t="s">
        <v>12</v>
      </c>
      <c r="O81" s="17">
        <f>ROUND(VLOOKUP(O$67&amp;"_1",管理者用人口入力シート!CO:DL,Q81,FALSE),0)</f>
        <v>24</v>
      </c>
      <c r="P81" s="17">
        <f>ROUND(VLOOKUP(O$67&amp;"_2",管理者用人口入力シート!CO:DL,Q81,FALSE),0)</f>
        <v>27</v>
      </c>
      <c r="Q81" s="2">
        <v>16</v>
      </c>
      <c r="U81" s="85"/>
    </row>
    <row r="82" spans="1:21" x14ac:dyDescent="0.15">
      <c r="A82" s="2" t="s">
        <v>17</v>
      </c>
      <c r="B82" s="17">
        <f>ROUND(VLOOKUP(B$63&amp;"_1",管理者用人口入力シート!A:X,D82,FALSE),0)</f>
        <v>13</v>
      </c>
      <c r="C82" s="17">
        <f>ROUND(VLOOKUP(B$63&amp;"_2",管理者用人口入力シート!A:X,D82,FALSE),0)</f>
        <v>19</v>
      </c>
      <c r="D82" s="2">
        <v>21</v>
      </c>
      <c r="G82" s="2" t="s">
        <v>13</v>
      </c>
      <c r="H82" s="17">
        <f>ROUND(VLOOKUP(H$67&amp;"_1",管理者用人口入力シート!BH:CE,J82,FALSE),0)</f>
        <v>28</v>
      </c>
      <c r="I82" s="17">
        <f>ROUND(VLOOKUP(H$67&amp;"_2",管理者用人口入力シート!BH:CE,J82,FALSE),0)</f>
        <v>32</v>
      </c>
      <c r="J82" s="2">
        <v>17</v>
      </c>
      <c r="K82" s="12"/>
      <c r="N82" s="2" t="s">
        <v>13</v>
      </c>
      <c r="O82" s="17">
        <f>ROUND(VLOOKUP(O$67&amp;"_1",管理者用人口入力シート!CO:DL,Q82,FALSE),0)</f>
        <v>28</v>
      </c>
      <c r="P82" s="17">
        <f>ROUND(VLOOKUP(O$67&amp;"_2",管理者用人口入力シート!CO:DL,Q82,FALSE),0)</f>
        <v>32</v>
      </c>
      <c r="Q82" s="2">
        <v>17</v>
      </c>
      <c r="U82" s="85"/>
    </row>
    <row r="83" spans="1:21" x14ac:dyDescent="0.15">
      <c r="A83" s="2" t="s">
        <v>18</v>
      </c>
      <c r="B83" s="17">
        <f>ROUND(VLOOKUP(B$63&amp;"_1",管理者用人口入力シート!A:X,D83,FALSE),0)</f>
        <v>1</v>
      </c>
      <c r="C83" s="17">
        <f>ROUND(VLOOKUP(B$63&amp;"_2",管理者用人口入力シート!A:X,D83,FALSE),0)</f>
        <v>6</v>
      </c>
      <c r="D83" s="2">
        <v>22</v>
      </c>
      <c r="G83" s="2" t="s">
        <v>14</v>
      </c>
      <c r="H83" s="17">
        <f>ROUND(VLOOKUP(H$67&amp;"_1",管理者用人口入力シート!BH:CE,J83,FALSE),0)</f>
        <v>29</v>
      </c>
      <c r="I83" s="17">
        <f>ROUND(VLOOKUP(H$67&amp;"_2",管理者用人口入力シート!BH:CE,J83,FALSE),0)</f>
        <v>39</v>
      </c>
      <c r="J83" s="2">
        <v>18</v>
      </c>
      <c r="K83" s="12"/>
      <c r="N83" s="2" t="s">
        <v>14</v>
      </c>
      <c r="O83" s="17">
        <f>ROUND(VLOOKUP(O$67&amp;"_1",管理者用人口入力シート!CO:DL,Q83,FALSE),0)</f>
        <v>29</v>
      </c>
      <c r="P83" s="17">
        <f>ROUND(VLOOKUP(O$67&amp;"_2",管理者用人口入力シート!CO:DL,Q83,FALSE),0)</f>
        <v>39</v>
      </c>
      <c r="Q83" s="2">
        <v>18</v>
      </c>
      <c r="U83" s="85"/>
    </row>
    <row r="84" spans="1:21" x14ac:dyDescent="0.15">
      <c r="A84" s="2" t="s">
        <v>19</v>
      </c>
      <c r="B84" s="17">
        <f>ROUND(VLOOKUP(B$63&amp;"_1",管理者用人口入力シート!A:X,D84,FALSE),0)</f>
        <v>1</v>
      </c>
      <c r="C84" s="17">
        <f>ROUND(VLOOKUP(B$63&amp;"_2",管理者用人口入力シート!A:X,D84,FALSE),0)</f>
        <v>1</v>
      </c>
      <c r="D84" s="2">
        <v>23</v>
      </c>
      <c r="G84" s="2" t="s">
        <v>15</v>
      </c>
      <c r="H84" s="17">
        <f>ROUND(VLOOKUP(H$67&amp;"_1",管理者用人口入力シート!BH:CE,J84,FALSE),0)</f>
        <v>32</v>
      </c>
      <c r="I84" s="17">
        <f>ROUND(VLOOKUP(H$67&amp;"_2",管理者用人口入力シート!BH:CE,J84,FALSE),0)</f>
        <v>35</v>
      </c>
      <c r="J84" s="2">
        <v>19</v>
      </c>
      <c r="K84" s="12"/>
      <c r="N84" s="2" t="s">
        <v>15</v>
      </c>
      <c r="O84" s="17">
        <f>ROUND(VLOOKUP(O$67&amp;"_1",管理者用人口入力シート!CO:DL,Q84,FALSE),0)</f>
        <v>32</v>
      </c>
      <c r="P84" s="17">
        <f>ROUND(VLOOKUP(O$67&amp;"_2",管理者用人口入力シート!CO:DL,Q84,FALSE),0)</f>
        <v>35</v>
      </c>
      <c r="Q84" s="2">
        <v>19</v>
      </c>
      <c r="U84" s="85"/>
    </row>
    <row r="85" spans="1:21" x14ac:dyDescent="0.15">
      <c r="A85" s="2" t="s">
        <v>20</v>
      </c>
      <c r="B85" s="17">
        <f>ROUND(VLOOKUP(B$63&amp;"_1",管理者用人口入力シート!A:X,D85,FALSE),0)</f>
        <v>0</v>
      </c>
      <c r="C85" s="17">
        <f>ROUND(VLOOKUP(B$63&amp;"_2",管理者用人口入力シート!A:X,D85,FALSE),0)</f>
        <v>0</v>
      </c>
      <c r="D85" s="2">
        <v>24</v>
      </c>
      <c r="G85" s="2" t="s">
        <v>16</v>
      </c>
      <c r="H85" s="17">
        <f>ROUND(VLOOKUP(H$67&amp;"_1",管理者用人口入力シート!BH:CE,J85,FALSE),0)</f>
        <v>17</v>
      </c>
      <c r="I85" s="17">
        <f>ROUND(VLOOKUP(H$67&amp;"_2",管理者用人口入力シート!BH:CE,J85,FALSE),0)</f>
        <v>25</v>
      </c>
      <c r="J85" s="2">
        <v>20</v>
      </c>
      <c r="K85" s="12"/>
      <c r="N85" s="2" t="s">
        <v>16</v>
      </c>
      <c r="O85" s="17">
        <f>ROUND(VLOOKUP(O$67&amp;"_1",管理者用人口入力シート!CO:DL,Q85,FALSE),0)</f>
        <v>17</v>
      </c>
      <c r="P85" s="17">
        <f>ROUND(VLOOKUP(O$67&amp;"_2",管理者用人口入力シート!CO:DL,Q85,FALSE),0)</f>
        <v>25</v>
      </c>
      <c r="Q85" s="2">
        <v>20</v>
      </c>
      <c r="U85" s="85"/>
    </row>
    <row r="86" spans="1:21" x14ac:dyDescent="0.15">
      <c r="G86" s="2" t="s">
        <v>17</v>
      </c>
      <c r="H86" s="17">
        <f>ROUND(VLOOKUP(H$67&amp;"_1",管理者用人口入力シート!BH:CE,J86,FALSE),0)</f>
        <v>13</v>
      </c>
      <c r="I86" s="17">
        <f>ROUND(VLOOKUP(H$67&amp;"_2",管理者用人口入力シート!BH:CE,J86,FALSE),0)</f>
        <v>18</v>
      </c>
      <c r="J86" s="2">
        <v>21</v>
      </c>
      <c r="K86" s="12"/>
      <c r="N86" s="2" t="s">
        <v>17</v>
      </c>
      <c r="O86" s="17">
        <f>ROUND(VLOOKUP(O$67&amp;"_1",管理者用人口入力シート!CO:DL,Q86,FALSE),0)</f>
        <v>13</v>
      </c>
      <c r="P86" s="17">
        <f>ROUND(VLOOKUP(O$67&amp;"_2",管理者用人口入力シート!CO:DL,Q86,FALSE),0)</f>
        <v>18</v>
      </c>
      <c r="Q86" s="2">
        <v>21</v>
      </c>
      <c r="U86" s="85"/>
    </row>
    <row r="87" spans="1:21" x14ac:dyDescent="0.15">
      <c r="A87" s="2" t="s">
        <v>62</v>
      </c>
      <c r="B87" s="315">
        <f>管理者入力シート!B5</f>
        <v>2020</v>
      </c>
      <c r="C87" s="316"/>
      <c r="D87" s="2" t="s">
        <v>114</v>
      </c>
      <c r="G87" s="2" t="s">
        <v>18</v>
      </c>
      <c r="H87" s="17">
        <f>ROUND(VLOOKUP(H$67&amp;"_1",管理者用人口入力シート!BH:CE,J87,FALSE),0)</f>
        <v>6</v>
      </c>
      <c r="I87" s="17">
        <f>ROUND(VLOOKUP(H$67&amp;"_2",管理者用人口入力シート!BH:CE,J87,FALSE),0)</f>
        <v>9</v>
      </c>
      <c r="J87" s="2">
        <v>22</v>
      </c>
      <c r="K87" s="12"/>
      <c r="N87" s="2" t="s">
        <v>18</v>
      </c>
      <c r="O87" s="17">
        <f>ROUND(VLOOKUP(O$67&amp;"_1",管理者用人口入力シート!CO:DL,Q87,FALSE),0)</f>
        <v>6</v>
      </c>
      <c r="P87" s="17">
        <f>ROUND(VLOOKUP(O$67&amp;"_2",管理者用人口入力シート!CO:DL,Q87,FALSE),0)</f>
        <v>9</v>
      </c>
      <c r="Q87" s="2">
        <v>22</v>
      </c>
      <c r="U87" s="85"/>
    </row>
    <row r="88" spans="1:21" x14ac:dyDescent="0.15">
      <c r="A88" s="2" t="s">
        <v>115</v>
      </c>
      <c r="B88" s="18" t="s">
        <v>21</v>
      </c>
      <c r="C88" s="18" t="s">
        <v>22</v>
      </c>
      <c r="G88" s="2" t="s">
        <v>19</v>
      </c>
      <c r="H88" s="17">
        <f>ROUND(VLOOKUP(H$67&amp;"_1",管理者用人口入力シート!BH:CE,J88,FALSE),0)</f>
        <v>0</v>
      </c>
      <c r="I88" s="17">
        <f>ROUND(VLOOKUP(H$67&amp;"_2",管理者用人口入力シート!BH:CE,J88,FALSE),0)</f>
        <v>3</v>
      </c>
      <c r="J88" s="2">
        <v>23</v>
      </c>
      <c r="K88" s="12"/>
      <c r="N88" s="2" t="s">
        <v>19</v>
      </c>
      <c r="O88" s="17">
        <f>ROUND(VLOOKUP(O$67&amp;"_1",管理者用人口入力シート!CO:DL,Q88,FALSE),0)</f>
        <v>0</v>
      </c>
      <c r="P88" s="17">
        <f>ROUND(VLOOKUP(O$67&amp;"_2",管理者用人口入力シート!CO:DL,Q88,FALSE),0)</f>
        <v>3</v>
      </c>
      <c r="Q88" s="2">
        <v>23</v>
      </c>
      <c r="U88" s="85"/>
    </row>
    <row r="89" spans="1:21" x14ac:dyDescent="0.15">
      <c r="A89" s="2" t="s">
        <v>0</v>
      </c>
      <c r="B89" s="17">
        <f>ROUND(VLOOKUP(B$87&amp;"_1",管理者用人口入力シート!A:X,D89,FALSE),0)</f>
        <v>7</v>
      </c>
      <c r="C89" s="17">
        <f>ROUND(VLOOKUP(B$87&amp;"_2",管理者用人口入力シート!A:X,D89,FALSE),0)</f>
        <v>16</v>
      </c>
      <c r="D89" s="2">
        <v>4</v>
      </c>
      <c r="G89" s="2" t="s">
        <v>20</v>
      </c>
      <c r="H89" s="17">
        <f>ROUND(VLOOKUP(H$67&amp;"_1",管理者用人口入力シート!BH:CE,J89,FALSE),0)</f>
        <v>0</v>
      </c>
      <c r="I89" s="17">
        <f>ROUND(VLOOKUP(H$67&amp;"_2",管理者用人口入力シート!BH:CE,J89,FALSE),0)</f>
        <v>0</v>
      </c>
      <c r="J89" s="2">
        <v>24</v>
      </c>
      <c r="K89" s="12"/>
      <c r="N89" s="2" t="s">
        <v>20</v>
      </c>
      <c r="O89" s="17">
        <f>ROUND(VLOOKUP(O$67&amp;"_1",管理者用人口入力シート!CO:DL,Q89,FALSE),0)</f>
        <v>0</v>
      </c>
      <c r="P89" s="17">
        <f>ROUND(VLOOKUP(O$67&amp;"_2",管理者用人口入力シート!CO:DL,Q89,FALSE),0)</f>
        <v>0</v>
      </c>
      <c r="Q89" s="2">
        <v>24</v>
      </c>
      <c r="U89" s="85"/>
    </row>
    <row r="90" spans="1:21" x14ac:dyDescent="0.15">
      <c r="A90" s="2" t="s">
        <v>1</v>
      </c>
      <c r="B90" s="17">
        <f>ROUND(VLOOKUP(B$87&amp;"_1",管理者用人口入力シート!A:X,D90,FALSE),0)</f>
        <v>16</v>
      </c>
      <c r="C90" s="17">
        <f>ROUND(VLOOKUP(B$87&amp;"_2",管理者用人口入力シート!A:X,D90,FALSE),0)</f>
        <v>13</v>
      </c>
      <c r="D90" s="2">
        <v>5</v>
      </c>
    </row>
    <row r="91" spans="1:21" x14ac:dyDescent="0.15">
      <c r="A91" s="2" t="s">
        <v>2</v>
      </c>
      <c r="B91" s="17">
        <f>ROUND(VLOOKUP(B$87&amp;"_1",管理者用人口入力シート!A:X,D91,FALSE),0)</f>
        <v>19</v>
      </c>
      <c r="C91" s="17">
        <f>ROUND(VLOOKUP(B$87&amp;"_2",管理者用人口入力シート!A:X,D91,FALSE),0)</f>
        <v>12</v>
      </c>
      <c r="D91" s="2">
        <v>6</v>
      </c>
      <c r="G91" s="2" t="s">
        <v>107</v>
      </c>
      <c r="H91" s="315">
        <f>管理者入力シート!B9</f>
        <v>2030</v>
      </c>
      <c r="I91" s="316"/>
      <c r="J91" s="2" t="s">
        <v>114</v>
      </c>
      <c r="K91" s="208"/>
      <c r="O91" s="315">
        <f>管理者入力シート!B9</f>
        <v>2030</v>
      </c>
      <c r="P91" s="316"/>
      <c r="Q91" s="2" t="s">
        <v>114</v>
      </c>
    </row>
    <row r="92" spans="1:21" x14ac:dyDescent="0.15">
      <c r="A92" s="2" t="s">
        <v>3</v>
      </c>
      <c r="B92" s="17">
        <f>ROUND(VLOOKUP(B$87&amp;"_1",管理者用人口入力シート!A:X,D92,FALSE),0)</f>
        <v>8</v>
      </c>
      <c r="C92" s="17">
        <f>ROUND(VLOOKUP(B$87&amp;"_2",管理者用人口入力シート!A:X,D92,FALSE),0)</f>
        <v>12</v>
      </c>
      <c r="D92" s="2">
        <v>7</v>
      </c>
      <c r="G92" s="2" t="s">
        <v>115</v>
      </c>
      <c r="H92" s="18" t="s">
        <v>243</v>
      </c>
      <c r="I92" s="18" t="s">
        <v>244</v>
      </c>
      <c r="K92" s="208"/>
      <c r="N92" s="2" t="s">
        <v>115</v>
      </c>
      <c r="O92" s="18" t="s">
        <v>21</v>
      </c>
      <c r="P92" s="18" t="s">
        <v>22</v>
      </c>
    </row>
    <row r="93" spans="1:21" x14ac:dyDescent="0.15">
      <c r="A93" s="2" t="s">
        <v>4</v>
      </c>
      <c r="B93" s="17">
        <f>ROUND(VLOOKUP(B$87&amp;"_1",管理者用人口入力シート!A:X,D93,FALSE),0)</f>
        <v>5</v>
      </c>
      <c r="C93" s="17">
        <f>ROUND(VLOOKUP(B$87&amp;"_2",管理者用人口入力シート!A:X,D93,FALSE),0)</f>
        <v>12</v>
      </c>
      <c r="D93" s="2">
        <v>8</v>
      </c>
      <c r="G93" s="2" t="s">
        <v>0</v>
      </c>
      <c r="H93" s="17">
        <f>ROUND(VLOOKUP(H$91&amp;"_1",管理者用人口入力シート!BH:CE,J93,FALSE),0)</f>
        <v>5</v>
      </c>
      <c r="I93" s="17">
        <f>ROUND(VLOOKUP(H$91&amp;"_2",管理者用人口入力シート!BH:CE,J93,FALSE),0)</f>
        <v>11</v>
      </c>
      <c r="J93" s="2">
        <v>4</v>
      </c>
      <c r="K93" s="12"/>
      <c r="N93" s="2" t="s">
        <v>0</v>
      </c>
      <c r="O93" s="17">
        <f>ROUND(VLOOKUP(O$91&amp;"_1",管理者用人口入力シート!CO:DL,Q93,FALSE),0)</f>
        <v>7</v>
      </c>
      <c r="P93" s="17">
        <f>ROUND(VLOOKUP(O$91&amp;"_2",管理者用人口入力シート!CO:DL,Q93,FALSE),0)</f>
        <v>14</v>
      </c>
      <c r="Q93" s="2">
        <v>4</v>
      </c>
      <c r="T93" s="85"/>
    </row>
    <row r="94" spans="1:21" x14ac:dyDescent="0.15">
      <c r="A94" s="2" t="s">
        <v>5</v>
      </c>
      <c r="B94" s="17">
        <f>ROUND(VLOOKUP(B$87&amp;"_1",管理者用人口入力シート!A:X,D94,FALSE),0)</f>
        <v>7</v>
      </c>
      <c r="C94" s="17">
        <f>ROUND(VLOOKUP(B$87&amp;"_2",管理者用人口入力シート!A:X,D94,FALSE),0)</f>
        <v>8</v>
      </c>
      <c r="D94" s="2">
        <v>9</v>
      </c>
      <c r="G94" s="2" t="s">
        <v>1</v>
      </c>
      <c r="H94" s="17">
        <f>ROUND(VLOOKUP(H$91&amp;"_1",管理者用人口入力シート!BH:CE,J94,FALSE),0)</f>
        <v>6</v>
      </c>
      <c r="I94" s="17">
        <f>ROUND(VLOOKUP(H$91&amp;"_2",管理者用人口入力シート!BH:CE,J94,FALSE),0)</f>
        <v>12</v>
      </c>
      <c r="J94" s="2">
        <v>5</v>
      </c>
      <c r="K94" s="12"/>
      <c r="N94" s="2" t="s">
        <v>1</v>
      </c>
      <c r="O94" s="17">
        <f>ROUND(VLOOKUP(O$91&amp;"_1",管理者用人口入力シート!CO:DL,Q94,FALSE),0)</f>
        <v>8</v>
      </c>
      <c r="P94" s="17">
        <f>ROUND(VLOOKUP(O$91&amp;"_2",管理者用人口入力シート!CO:DL,Q94,FALSE),0)</f>
        <v>13</v>
      </c>
      <c r="Q94" s="2">
        <v>5</v>
      </c>
      <c r="T94" s="85"/>
    </row>
    <row r="95" spans="1:21" x14ac:dyDescent="0.15">
      <c r="A95" s="2" t="s">
        <v>6</v>
      </c>
      <c r="B95" s="17">
        <f>ROUND(VLOOKUP(B$87&amp;"_1",管理者用人口入力シート!A:X,D95,FALSE),0)</f>
        <v>3</v>
      </c>
      <c r="C95" s="17">
        <f>ROUND(VLOOKUP(B$87&amp;"_2",管理者用人口入力シート!A:X,D95,FALSE),0)</f>
        <v>6</v>
      </c>
      <c r="D95" s="2">
        <v>10</v>
      </c>
      <c r="G95" s="2" t="s">
        <v>2</v>
      </c>
      <c r="H95" s="17">
        <f>ROUND(VLOOKUP(H$91&amp;"_1",管理者用人口入力シート!BH:CE,J95,FALSE),0)</f>
        <v>10</v>
      </c>
      <c r="I95" s="17">
        <f>ROUND(VLOOKUP(H$91&amp;"_2",管理者用人口入力シート!BH:CE,J95,FALSE),0)</f>
        <v>14</v>
      </c>
      <c r="J95" s="2">
        <v>6</v>
      </c>
      <c r="K95" s="12"/>
      <c r="N95" s="2" t="s">
        <v>2</v>
      </c>
      <c r="O95" s="17">
        <f>ROUND(VLOOKUP(O$91&amp;"_1",管理者用人口入力シート!CO:DL,Q95,FALSE),0)</f>
        <v>11</v>
      </c>
      <c r="P95" s="17">
        <f>ROUND(VLOOKUP(O$91&amp;"_2",管理者用人口入力シート!CO:DL,Q95,FALSE),0)</f>
        <v>15</v>
      </c>
      <c r="Q95" s="2">
        <v>6</v>
      </c>
      <c r="T95" s="85"/>
    </row>
    <row r="96" spans="1:21" x14ac:dyDescent="0.15">
      <c r="A96" s="2" t="s">
        <v>7</v>
      </c>
      <c r="B96" s="17">
        <f>ROUND(VLOOKUP(B$87&amp;"_1",管理者用人口入力シート!A:X,D96,FALSE),0)</f>
        <v>16</v>
      </c>
      <c r="C96" s="17">
        <f>ROUND(VLOOKUP(B$87&amp;"_2",管理者用人口入力シート!A:X,D96,FALSE),0)</f>
        <v>17</v>
      </c>
      <c r="D96" s="2">
        <v>11</v>
      </c>
      <c r="G96" s="2" t="s">
        <v>3</v>
      </c>
      <c r="H96" s="17">
        <f>ROUND(VLOOKUP(H$91&amp;"_1",管理者用人口入力シート!BH:CE,J96,FALSE),0)</f>
        <v>12</v>
      </c>
      <c r="I96" s="17">
        <f>ROUND(VLOOKUP(H$91&amp;"_2",管理者用人口入力シート!BH:CE,J96,FALSE),0)</f>
        <v>12</v>
      </c>
      <c r="J96" s="2">
        <v>7</v>
      </c>
      <c r="K96" s="12"/>
      <c r="N96" s="2" t="s">
        <v>3</v>
      </c>
      <c r="O96" s="17">
        <f>ROUND(VLOOKUP(O$91&amp;"_1",管理者用人口入力シート!CO:DL,Q96,FALSE),0)</f>
        <v>13</v>
      </c>
      <c r="P96" s="17">
        <f>ROUND(VLOOKUP(O$91&amp;"_2",管理者用人口入力シート!CO:DL,Q96,FALSE),0)</f>
        <v>13</v>
      </c>
      <c r="Q96" s="2">
        <v>7</v>
      </c>
      <c r="T96" s="85"/>
    </row>
    <row r="97" spans="1:20" x14ac:dyDescent="0.15">
      <c r="A97" s="2" t="s">
        <v>8</v>
      </c>
      <c r="B97" s="17">
        <f>ROUND(VLOOKUP(B$87&amp;"_1",管理者用人口入力シート!A:X,D97,FALSE),0)</f>
        <v>15</v>
      </c>
      <c r="C97" s="17">
        <f>ROUND(VLOOKUP(B$87&amp;"_2",管理者用人口入力シート!A:X,D97,FALSE),0)</f>
        <v>13</v>
      </c>
      <c r="D97" s="2">
        <v>12</v>
      </c>
      <c r="G97" s="2" t="s">
        <v>4</v>
      </c>
      <c r="H97" s="17">
        <f>ROUND(VLOOKUP(H$91&amp;"_1",管理者用人口入力シート!BH:CE,J97,FALSE),0)</f>
        <v>7</v>
      </c>
      <c r="I97" s="17">
        <f>ROUND(VLOOKUP(H$91&amp;"_2",管理者用人口入力シート!BH:CE,J97,FALSE),0)</f>
        <v>9</v>
      </c>
      <c r="J97" s="2">
        <v>8</v>
      </c>
      <c r="K97" s="12"/>
      <c r="N97" s="2" t="s">
        <v>4</v>
      </c>
      <c r="O97" s="17">
        <f>ROUND(VLOOKUP(O$91&amp;"_1",管理者用人口入力シート!CO:DL,Q97,FALSE),0)</f>
        <v>7</v>
      </c>
      <c r="P97" s="17">
        <f>ROUND(VLOOKUP(O$91&amp;"_2",管理者用人口入力シート!CO:DL,Q97,FALSE),0)</f>
        <v>9</v>
      </c>
      <c r="Q97" s="2">
        <v>8</v>
      </c>
      <c r="T97" s="85"/>
    </row>
    <row r="98" spans="1:20" x14ac:dyDescent="0.15">
      <c r="A98" s="2" t="s">
        <v>9</v>
      </c>
      <c r="B98" s="17">
        <f>ROUND(VLOOKUP(B$87&amp;"_1",管理者用人口入力シート!A:X,D98,FALSE),0)</f>
        <v>24</v>
      </c>
      <c r="C98" s="17">
        <f>ROUND(VLOOKUP(B$87&amp;"_2",管理者用人口入力シート!A:X,D98,FALSE),0)</f>
        <v>22</v>
      </c>
      <c r="D98" s="2">
        <v>13</v>
      </c>
      <c r="G98" s="2" t="s">
        <v>5</v>
      </c>
      <c r="H98" s="17">
        <f>ROUND(VLOOKUP(H$91&amp;"_1",管理者用人口入力シート!BH:CE,J98,FALSE),0)</f>
        <v>3</v>
      </c>
      <c r="I98" s="17">
        <f>ROUND(VLOOKUP(H$91&amp;"_2",管理者用人口入力シート!BH:CE,J98,FALSE),0)</f>
        <v>6</v>
      </c>
      <c r="J98" s="2">
        <v>9</v>
      </c>
      <c r="K98" s="12"/>
      <c r="N98" s="2" t="s">
        <v>5</v>
      </c>
      <c r="O98" s="17">
        <f>ROUND(VLOOKUP(O$91&amp;"_1",管理者用人口入力シート!CO:DL,Q98,FALSE),0)</f>
        <v>5</v>
      </c>
      <c r="P98" s="17">
        <f>ROUND(VLOOKUP(O$91&amp;"_2",管理者用人口入力シート!CO:DL,Q98,FALSE),0)</f>
        <v>8</v>
      </c>
      <c r="Q98" s="2">
        <v>9</v>
      </c>
      <c r="T98" s="85"/>
    </row>
    <row r="99" spans="1:20" x14ac:dyDescent="0.15">
      <c r="A99" s="2" t="s">
        <v>10</v>
      </c>
      <c r="B99" s="17">
        <f>ROUND(VLOOKUP(B$87&amp;"_1",管理者用人口入力シート!A:X,D99,FALSE),0)</f>
        <v>21</v>
      </c>
      <c r="C99" s="17">
        <f>ROUND(VLOOKUP(B$87&amp;"_2",管理者用人口入力シート!A:X,D99,FALSE),0)</f>
        <v>24</v>
      </c>
      <c r="D99" s="2">
        <v>14</v>
      </c>
      <c r="G99" s="2" t="s">
        <v>6</v>
      </c>
      <c r="H99" s="17">
        <f>ROUND(VLOOKUP(H$91&amp;"_1",管理者用人口入力シート!BH:CE,J99,FALSE),0)</f>
        <v>2</v>
      </c>
      <c r="I99" s="17">
        <f>ROUND(VLOOKUP(H$91&amp;"_2",管理者用人口入力シート!BH:CE,J99,FALSE),0)</f>
        <v>7</v>
      </c>
      <c r="J99" s="2">
        <v>10</v>
      </c>
      <c r="K99" s="12"/>
      <c r="N99" s="2" t="s">
        <v>6</v>
      </c>
      <c r="O99" s="17">
        <f>ROUND(VLOOKUP(O$91&amp;"_1",管理者用人口入力シート!CO:DL,Q99,FALSE),0)</f>
        <v>3</v>
      </c>
      <c r="P99" s="17">
        <f>ROUND(VLOOKUP(O$91&amp;"_2",管理者用人口入力シート!CO:DL,Q99,FALSE),0)</f>
        <v>8</v>
      </c>
      <c r="Q99" s="2">
        <v>10</v>
      </c>
      <c r="T99" s="85"/>
    </row>
    <row r="100" spans="1:20" x14ac:dyDescent="0.15">
      <c r="A100" s="2" t="s">
        <v>11</v>
      </c>
      <c r="B100" s="17">
        <f>ROUND(VLOOKUP(B$87&amp;"_1",管理者用人口入力シート!A:X,D100,FALSE),0)</f>
        <v>22</v>
      </c>
      <c r="C100" s="17">
        <f>ROUND(VLOOKUP(B$87&amp;"_2",管理者用人口入力シート!A:X,D100,FALSE),0)</f>
        <v>23</v>
      </c>
      <c r="D100" s="2">
        <v>15</v>
      </c>
      <c r="G100" s="2" t="s">
        <v>7</v>
      </c>
      <c r="H100" s="17">
        <f>ROUND(VLOOKUP(H$91&amp;"_1",管理者用人口入力シート!BH:CE,J100,FALSE),0)</f>
        <v>5</v>
      </c>
      <c r="I100" s="17">
        <f>ROUND(VLOOKUP(H$91&amp;"_2",管理者用人口入力シート!BH:CE,J100,FALSE),0)</f>
        <v>9</v>
      </c>
      <c r="J100" s="2">
        <v>11</v>
      </c>
      <c r="K100" s="12"/>
      <c r="N100" s="2" t="s">
        <v>7</v>
      </c>
      <c r="O100" s="17">
        <f>ROUND(VLOOKUP(O$91&amp;"_1",管理者用人口入力シート!CO:DL,Q100,FALSE),0)</f>
        <v>5</v>
      </c>
      <c r="P100" s="17">
        <f>ROUND(VLOOKUP(O$91&amp;"_2",管理者用人口入力シート!CO:DL,Q100,FALSE),0)</f>
        <v>9</v>
      </c>
      <c r="Q100" s="2">
        <v>11</v>
      </c>
      <c r="T100" s="85"/>
    </row>
    <row r="101" spans="1:20" x14ac:dyDescent="0.15">
      <c r="A101" s="2" t="s">
        <v>12</v>
      </c>
      <c r="B101" s="17">
        <f>ROUND(VLOOKUP(B$87&amp;"_1",管理者用人口入力シート!A:X,D101,FALSE),0)</f>
        <v>28</v>
      </c>
      <c r="C101" s="17">
        <f>ROUND(VLOOKUP(B$87&amp;"_2",管理者用人口入力シート!A:X,D101,FALSE),0)</f>
        <v>32</v>
      </c>
      <c r="D101" s="2">
        <v>16</v>
      </c>
      <c r="G101" s="2" t="s">
        <v>8</v>
      </c>
      <c r="H101" s="17">
        <f>ROUND(VLOOKUP(H$91&amp;"_1",管理者用人口入力シート!BH:CE,J101,FALSE),0)</f>
        <v>5</v>
      </c>
      <c r="I101" s="17">
        <f>ROUND(VLOOKUP(H$91&amp;"_2",管理者用人口入力シート!BH:CE,J101,FALSE),0)</f>
        <v>10</v>
      </c>
      <c r="J101" s="2">
        <v>12</v>
      </c>
      <c r="K101" s="12"/>
      <c r="N101" s="2" t="s">
        <v>8</v>
      </c>
      <c r="O101" s="17">
        <f>ROUND(VLOOKUP(O$91&amp;"_1",管理者用人口入力シート!CO:DL,Q101,FALSE),0)</f>
        <v>5</v>
      </c>
      <c r="P101" s="17">
        <f>ROUND(VLOOKUP(O$91&amp;"_2",管理者用人口入力シート!CO:DL,Q101,FALSE),0)</f>
        <v>11</v>
      </c>
      <c r="Q101" s="2">
        <v>12</v>
      </c>
      <c r="T101" s="85"/>
    </row>
    <row r="102" spans="1:20" x14ac:dyDescent="0.15">
      <c r="A102" s="2" t="s">
        <v>13</v>
      </c>
      <c r="B102" s="17">
        <f>ROUND(VLOOKUP(B$87&amp;"_1",管理者用人口入力シート!A:X,D102,FALSE),0)</f>
        <v>31</v>
      </c>
      <c r="C102" s="17">
        <f>ROUND(VLOOKUP(B$87&amp;"_2",管理者用人口入力シート!A:X,D102,FALSE),0)</f>
        <v>38</v>
      </c>
      <c r="D102" s="2">
        <v>17</v>
      </c>
      <c r="G102" s="2" t="s">
        <v>9</v>
      </c>
      <c r="H102" s="17">
        <f>ROUND(VLOOKUP(H$91&amp;"_1",管理者用人口入力シート!BH:CE,J102,FALSE),0)</f>
        <v>22</v>
      </c>
      <c r="I102" s="17">
        <f>ROUND(VLOOKUP(H$91&amp;"_2",管理者用人口入力シート!BH:CE,J102,FALSE),0)</f>
        <v>15</v>
      </c>
      <c r="J102" s="2">
        <v>13</v>
      </c>
      <c r="K102" s="12"/>
      <c r="N102" s="2" t="s">
        <v>9</v>
      </c>
      <c r="O102" s="17">
        <f>ROUND(VLOOKUP(O$91&amp;"_1",管理者用人口入力シート!CO:DL,Q102,FALSE),0)</f>
        <v>22</v>
      </c>
      <c r="P102" s="17">
        <f>ROUND(VLOOKUP(O$91&amp;"_2",管理者用人口入力シート!CO:DL,Q102,FALSE),0)</f>
        <v>16</v>
      </c>
      <c r="Q102" s="2">
        <v>13</v>
      </c>
      <c r="T102" s="85"/>
    </row>
    <row r="103" spans="1:20" x14ac:dyDescent="0.15">
      <c r="A103" s="2" t="s">
        <v>14</v>
      </c>
      <c r="B103" s="17">
        <f>ROUND(VLOOKUP(B$87&amp;"_1",管理者用人口入力シート!A:X,D103,FALSE),0)</f>
        <v>36</v>
      </c>
      <c r="C103" s="17">
        <f>ROUND(VLOOKUP(B$87&amp;"_2",管理者用人口入力シート!A:X,D103,FALSE),0)</f>
        <v>40</v>
      </c>
      <c r="D103" s="2">
        <v>18</v>
      </c>
      <c r="G103" s="2" t="s">
        <v>10</v>
      </c>
      <c r="H103" s="17">
        <f>ROUND(VLOOKUP(H$91&amp;"_1",管理者用人口入力シート!BH:CE,J103,FALSE),0)</f>
        <v>14</v>
      </c>
      <c r="I103" s="17">
        <f>ROUND(VLOOKUP(H$91&amp;"_2",管理者用人口入力シート!BH:CE,J103,FALSE),0)</f>
        <v>12</v>
      </c>
      <c r="J103" s="2">
        <v>14</v>
      </c>
      <c r="K103" s="12"/>
      <c r="N103" s="2" t="s">
        <v>10</v>
      </c>
      <c r="O103" s="17">
        <f>ROUND(VLOOKUP(O$91&amp;"_1",管理者用人口入力シート!CO:DL,Q103,FALSE),0)</f>
        <v>14</v>
      </c>
      <c r="P103" s="17">
        <f>ROUND(VLOOKUP(O$91&amp;"_2",管理者用人口入力シート!CO:DL,Q103,FALSE),0)</f>
        <v>12</v>
      </c>
      <c r="Q103" s="2">
        <v>14</v>
      </c>
      <c r="T103" s="85"/>
    </row>
    <row r="104" spans="1:20" x14ac:dyDescent="0.15">
      <c r="A104" s="2" t="s">
        <v>15</v>
      </c>
      <c r="B104" s="17">
        <f>ROUND(VLOOKUP(B$87&amp;"_1",管理者用人口入力シート!A:X,D104,FALSE),0)</f>
        <v>22</v>
      </c>
      <c r="C104" s="17">
        <f>ROUND(VLOOKUP(B$87&amp;"_2",管理者用人口入力シート!A:X,D104,FALSE),0)</f>
        <v>32</v>
      </c>
      <c r="D104" s="2">
        <v>19</v>
      </c>
      <c r="G104" s="2" t="s">
        <v>11</v>
      </c>
      <c r="H104" s="17">
        <f>ROUND(VLOOKUP(H$91&amp;"_1",管理者用人口入力シート!BH:CE,J104,FALSE),0)</f>
        <v>20</v>
      </c>
      <c r="I104" s="17">
        <f>ROUND(VLOOKUP(H$91&amp;"_2",管理者用人口入力シート!BH:CE,J104,FALSE),0)</f>
        <v>20</v>
      </c>
      <c r="J104" s="2">
        <v>15</v>
      </c>
      <c r="K104" s="12"/>
      <c r="N104" s="2" t="s">
        <v>11</v>
      </c>
      <c r="O104" s="17">
        <f>ROUND(VLOOKUP(O$91&amp;"_1",管理者用人口入力シート!CO:DL,Q104,FALSE),0)</f>
        <v>20</v>
      </c>
      <c r="P104" s="17">
        <f>ROUND(VLOOKUP(O$91&amp;"_2",管理者用人口入力シート!CO:DL,Q104,FALSE),0)</f>
        <v>20</v>
      </c>
      <c r="Q104" s="2">
        <v>15</v>
      </c>
      <c r="T104" s="85"/>
    </row>
    <row r="105" spans="1:20" x14ac:dyDescent="0.15">
      <c r="A105" s="2" t="s">
        <v>16</v>
      </c>
      <c r="B105" s="17">
        <f>ROUND(VLOOKUP(B$87&amp;"_1",管理者用人口入力シート!A:X,D105,FALSE),0)</f>
        <v>19</v>
      </c>
      <c r="C105" s="17">
        <f>ROUND(VLOOKUP(B$87&amp;"_2",管理者用人口入力シート!A:X,D105,FALSE),0)</f>
        <v>23</v>
      </c>
      <c r="D105" s="2">
        <v>20</v>
      </c>
      <c r="G105" s="2" t="s">
        <v>12</v>
      </c>
      <c r="H105" s="17">
        <f>ROUND(VLOOKUP(H$91&amp;"_1",管理者用人口入力シート!BH:CE,J105,FALSE),0)</f>
        <v>20</v>
      </c>
      <c r="I105" s="17">
        <f>ROUND(VLOOKUP(H$91&amp;"_2",管理者用人口入力シート!BH:CE,J105,FALSE),0)</f>
        <v>25</v>
      </c>
      <c r="J105" s="2">
        <v>16</v>
      </c>
      <c r="K105" s="12"/>
      <c r="N105" s="2" t="s">
        <v>12</v>
      </c>
      <c r="O105" s="17">
        <f>ROUND(VLOOKUP(O$91&amp;"_1",管理者用人口入力シート!CO:DL,Q105,FALSE),0)</f>
        <v>20</v>
      </c>
      <c r="P105" s="17">
        <f>ROUND(VLOOKUP(O$91&amp;"_2",管理者用人口入力シート!CO:DL,Q105,FALSE),0)</f>
        <v>25</v>
      </c>
      <c r="Q105" s="2">
        <v>16</v>
      </c>
      <c r="T105" s="85"/>
    </row>
    <row r="106" spans="1:20" x14ac:dyDescent="0.15">
      <c r="A106" s="2" t="s">
        <v>17</v>
      </c>
      <c r="B106" s="17">
        <f>ROUND(VLOOKUP(B$87&amp;"_1",管理者用人口入力シート!A:X,D106,FALSE),0)</f>
        <v>17</v>
      </c>
      <c r="C106" s="17">
        <f>ROUND(VLOOKUP(B$87&amp;"_2",管理者用人口入力シート!A:X,D106,FALSE),0)</f>
        <v>17</v>
      </c>
      <c r="D106" s="2">
        <v>21</v>
      </c>
      <c r="G106" s="2" t="s">
        <v>13</v>
      </c>
      <c r="H106" s="17">
        <f>ROUND(VLOOKUP(H$91&amp;"_1",管理者用人口入力シート!BH:CE,J106,FALSE),0)</f>
        <v>24</v>
      </c>
      <c r="I106" s="17">
        <f>ROUND(VLOOKUP(H$91&amp;"_2",管理者用人口入力シート!BH:CE,J106,FALSE),0)</f>
        <v>27</v>
      </c>
      <c r="J106" s="2">
        <v>17</v>
      </c>
      <c r="K106" s="12"/>
      <c r="N106" s="2" t="s">
        <v>13</v>
      </c>
      <c r="O106" s="17">
        <f>ROUND(VLOOKUP(O$91&amp;"_1",管理者用人口入力シート!CO:DL,Q106,FALSE),0)</f>
        <v>24</v>
      </c>
      <c r="P106" s="17">
        <f>ROUND(VLOOKUP(O$91&amp;"_2",管理者用人口入力シート!CO:DL,Q106,FALSE),0)</f>
        <v>27</v>
      </c>
      <c r="Q106" s="2">
        <v>17</v>
      </c>
      <c r="T106" s="85"/>
    </row>
    <row r="107" spans="1:20" x14ac:dyDescent="0.15">
      <c r="A107" s="2" t="s">
        <v>18</v>
      </c>
      <c r="B107" s="17">
        <f>ROUND(VLOOKUP(B$87&amp;"_1",管理者用人口入力シート!A:X,D107,FALSE),0)</f>
        <v>5</v>
      </c>
      <c r="C107" s="17">
        <f>ROUND(VLOOKUP(B$87&amp;"_2",管理者用人口入力シート!A:X,D107,FALSE),0)</f>
        <v>12</v>
      </c>
      <c r="D107" s="2">
        <v>22</v>
      </c>
      <c r="G107" s="2" t="s">
        <v>14</v>
      </c>
      <c r="H107" s="17">
        <f>ROUND(VLOOKUP(H$91&amp;"_1",管理者用人口入力シート!BH:CE,J107,FALSE),0)</f>
        <v>26</v>
      </c>
      <c r="I107" s="17">
        <f>ROUND(VLOOKUP(H$91&amp;"_2",管理者用人口入力シート!BH:CE,J107,FALSE),0)</f>
        <v>33</v>
      </c>
      <c r="J107" s="2">
        <v>18</v>
      </c>
      <c r="K107" s="12"/>
      <c r="N107" s="2" t="s">
        <v>14</v>
      </c>
      <c r="O107" s="17">
        <f>ROUND(VLOOKUP(O$91&amp;"_1",管理者用人口入力シート!CO:DL,Q107,FALSE),0)</f>
        <v>26</v>
      </c>
      <c r="P107" s="17">
        <f>ROUND(VLOOKUP(O$91&amp;"_2",管理者用人口入力シート!CO:DL,Q107,FALSE),0)</f>
        <v>33</v>
      </c>
      <c r="Q107" s="2">
        <v>18</v>
      </c>
      <c r="T107" s="85"/>
    </row>
    <row r="108" spans="1:20" x14ac:dyDescent="0.15">
      <c r="A108" s="2" t="s">
        <v>19</v>
      </c>
      <c r="B108" s="17">
        <f>ROUND(VLOOKUP(B$87&amp;"_1",管理者用人口入力シート!A:X,D108,FALSE),0)</f>
        <v>0</v>
      </c>
      <c r="C108" s="17">
        <f>ROUND(VLOOKUP(B$87&amp;"_2",管理者用人口入力シート!A:X,D108,FALSE),0)</f>
        <v>3</v>
      </c>
      <c r="D108" s="2">
        <v>23</v>
      </c>
      <c r="G108" s="2" t="s">
        <v>15</v>
      </c>
      <c r="H108" s="17">
        <f>ROUND(VLOOKUP(H$91&amp;"_1",管理者用人口入力シート!BH:CE,J108,FALSE),0)</f>
        <v>26</v>
      </c>
      <c r="I108" s="17">
        <f>ROUND(VLOOKUP(H$91&amp;"_2",管理者用人口入力シート!BH:CE,J108,FALSE),0)</f>
        <v>34</v>
      </c>
      <c r="J108" s="2">
        <v>19</v>
      </c>
      <c r="K108" s="12"/>
      <c r="N108" s="2" t="s">
        <v>15</v>
      </c>
      <c r="O108" s="17">
        <f>ROUND(VLOOKUP(O$91&amp;"_1",管理者用人口入力シート!CO:DL,Q108,FALSE),0)</f>
        <v>26</v>
      </c>
      <c r="P108" s="17">
        <f>ROUND(VLOOKUP(O$91&amp;"_2",管理者用人口入力シート!CO:DL,Q108,FALSE),0)</f>
        <v>34</v>
      </c>
      <c r="Q108" s="2">
        <v>19</v>
      </c>
      <c r="T108" s="85"/>
    </row>
    <row r="109" spans="1:20" x14ac:dyDescent="0.15">
      <c r="A109" s="2" t="s">
        <v>20</v>
      </c>
      <c r="B109" s="17">
        <f>ROUND(VLOOKUP(B$87&amp;"_1",管理者用人口入力シート!A:X,D109,FALSE),0)</f>
        <v>0</v>
      </c>
      <c r="C109" s="17">
        <f>ROUND(VLOOKUP(B$87&amp;"_2",管理者用人口入力シート!A:X,D109,FALSE),0)</f>
        <v>0</v>
      </c>
      <c r="D109" s="2">
        <v>24</v>
      </c>
      <c r="G109" s="2" t="s">
        <v>16</v>
      </c>
      <c r="H109" s="17">
        <f>ROUND(VLOOKUP(H$91&amp;"_1",管理者用人口入力シート!BH:CE,J109,FALSE),0)</f>
        <v>25</v>
      </c>
      <c r="I109" s="17">
        <f>ROUND(VLOOKUP(H$91&amp;"_2",管理者用人口入力シート!BH:CE,J109,FALSE),0)</f>
        <v>27</v>
      </c>
      <c r="J109" s="2">
        <v>20</v>
      </c>
      <c r="K109" s="12"/>
      <c r="N109" s="2" t="s">
        <v>16</v>
      </c>
      <c r="O109" s="17">
        <f>ROUND(VLOOKUP(O$91&amp;"_1",管理者用人口入力シート!CO:DL,Q109,FALSE),0)</f>
        <v>25</v>
      </c>
      <c r="P109" s="17">
        <f>ROUND(VLOOKUP(O$91&amp;"_2",管理者用人口入力シート!CO:DL,Q109,FALSE),0)</f>
        <v>27</v>
      </c>
      <c r="Q109" s="2">
        <v>20</v>
      </c>
      <c r="T109" s="85"/>
    </row>
    <row r="110" spans="1:20" x14ac:dyDescent="0.15">
      <c r="G110" s="2" t="s">
        <v>17</v>
      </c>
      <c r="H110" s="17">
        <f>ROUND(VLOOKUP(H$91&amp;"_1",管理者用人口入力シート!BH:CE,J110,FALSE),0)</f>
        <v>11</v>
      </c>
      <c r="I110" s="17">
        <f>ROUND(VLOOKUP(H$91&amp;"_2",管理者用人口入力シート!BH:CE,J110,FALSE),0)</f>
        <v>19</v>
      </c>
      <c r="J110" s="2">
        <v>21</v>
      </c>
      <c r="K110" s="12"/>
      <c r="N110" s="2" t="s">
        <v>17</v>
      </c>
      <c r="O110" s="17">
        <f>ROUND(VLOOKUP(O$91&amp;"_1",管理者用人口入力シート!CO:DL,Q110,FALSE),0)</f>
        <v>11</v>
      </c>
      <c r="P110" s="17">
        <f>ROUND(VLOOKUP(O$91&amp;"_2",管理者用人口入力シート!CO:DL,Q110,FALSE),0)</f>
        <v>19</v>
      </c>
      <c r="Q110" s="2">
        <v>21</v>
      </c>
      <c r="T110" s="85"/>
    </row>
    <row r="111" spans="1:20" x14ac:dyDescent="0.15">
      <c r="G111" s="2" t="s">
        <v>18</v>
      </c>
      <c r="H111" s="17">
        <f>ROUND(VLOOKUP(H$91&amp;"_1",管理者用人口入力シート!BH:CE,J111,FALSE),0)</f>
        <v>5</v>
      </c>
      <c r="I111" s="17">
        <f>ROUND(VLOOKUP(H$91&amp;"_2",管理者用人口入力シート!BH:CE,J111,FALSE),0)</f>
        <v>9</v>
      </c>
      <c r="J111" s="2">
        <v>22</v>
      </c>
      <c r="K111" s="12"/>
      <c r="N111" s="2" t="s">
        <v>18</v>
      </c>
      <c r="O111" s="17">
        <f>ROUND(VLOOKUP(O$91&amp;"_1",管理者用人口入力シート!CO:DL,Q111,FALSE),0)</f>
        <v>5</v>
      </c>
      <c r="P111" s="17">
        <f>ROUND(VLOOKUP(O$91&amp;"_2",管理者用人口入力シート!CO:DL,Q111,FALSE),0)</f>
        <v>9</v>
      </c>
      <c r="Q111" s="2">
        <v>22</v>
      </c>
      <c r="T111" s="85"/>
    </row>
    <row r="112" spans="1:20" x14ac:dyDescent="0.15">
      <c r="G112" s="2" t="s">
        <v>19</v>
      </c>
      <c r="H112" s="17">
        <f>ROUND(VLOOKUP(H$91&amp;"_1",管理者用人口入力シート!BH:CE,J112,FALSE),0)</f>
        <v>0</v>
      </c>
      <c r="I112" s="17">
        <f>ROUND(VLOOKUP(H$91&amp;"_2",管理者用人口入力シート!BH:CE,J112,FALSE),0)</f>
        <v>3</v>
      </c>
      <c r="J112" s="2">
        <v>23</v>
      </c>
      <c r="K112" s="12"/>
      <c r="N112" s="2" t="s">
        <v>19</v>
      </c>
      <c r="O112" s="17">
        <f>ROUND(VLOOKUP(O$91&amp;"_1",管理者用人口入力シート!CO:DL,Q112,FALSE),0)</f>
        <v>0</v>
      </c>
      <c r="P112" s="17">
        <f>ROUND(VLOOKUP(O$91&amp;"_2",管理者用人口入力シート!CO:DL,Q112,FALSE),0)</f>
        <v>3</v>
      </c>
      <c r="Q112" s="2">
        <v>23</v>
      </c>
      <c r="T112" s="85"/>
    </row>
    <row r="113" spans="7:20" x14ac:dyDescent="0.15">
      <c r="G113" s="2" t="s">
        <v>20</v>
      </c>
      <c r="H113" s="17">
        <f>ROUND(VLOOKUP(H$91&amp;"_1",管理者用人口入力シート!BH:CE,J113,FALSE),0)</f>
        <v>0</v>
      </c>
      <c r="I113" s="17">
        <f>ROUND(VLOOKUP(H$91&amp;"_2",管理者用人口入力シート!BH:CE,J113,FALSE),0)</f>
        <v>0</v>
      </c>
      <c r="J113" s="2">
        <v>24</v>
      </c>
      <c r="K113" s="12"/>
      <c r="N113" s="2" t="s">
        <v>20</v>
      </c>
      <c r="O113" s="17">
        <f>ROUND(VLOOKUP(O$91&amp;"_1",管理者用人口入力シート!CO:DL,Q113,FALSE),0)</f>
        <v>0</v>
      </c>
      <c r="P113" s="17">
        <f>ROUND(VLOOKUP(O$91&amp;"_2",管理者用人口入力シート!CO:DL,Q113,FALSE),0)</f>
        <v>0</v>
      </c>
      <c r="Q113" s="2">
        <v>24</v>
      </c>
      <c r="T113" s="85"/>
    </row>
    <row r="115" spans="7:20" x14ac:dyDescent="0.15">
      <c r="G115" s="2" t="s">
        <v>394</v>
      </c>
      <c r="H115" s="315">
        <f>管理者入力シート!B10</f>
        <v>2035</v>
      </c>
      <c r="I115" s="316"/>
      <c r="J115" s="2" t="s">
        <v>114</v>
      </c>
      <c r="O115" s="315">
        <f>管理者入力シート!B10</f>
        <v>2035</v>
      </c>
      <c r="P115" s="316"/>
      <c r="Q115" s="2" t="s">
        <v>114</v>
      </c>
    </row>
    <row r="116" spans="7:20" x14ac:dyDescent="0.15">
      <c r="G116" s="2" t="s">
        <v>115</v>
      </c>
      <c r="H116" s="18" t="s">
        <v>21</v>
      </c>
      <c r="I116" s="18" t="s">
        <v>22</v>
      </c>
      <c r="N116" s="2" t="s">
        <v>115</v>
      </c>
      <c r="O116" s="18" t="s">
        <v>21</v>
      </c>
      <c r="P116" s="18" t="s">
        <v>22</v>
      </c>
    </row>
    <row r="117" spans="7:20" x14ac:dyDescent="0.15">
      <c r="G117" s="2" t="s">
        <v>0</v>
      </c>
      <c r="H117" s="17">
        <f>ROUND(VLOOKUP(H$115&amp;"_1",管理者用人口入力シート!BH:CE,J117,FALSE),0)</f>
        <v>5</v>
      </c>
      <c r="I117" s="17">
        <f>ROUND(VLOOKUP(H$115&amp;"_2",管理者用人口入力シート!BH:CE,J117,FALSE),0)</f>
        <v>11</v>
      </c>
      <c r="J117" s="2">
        <v>4</v>
      </c>
      <c r="N117" s="2" t="s">
        <v>0</v>
      </c>
      <c r="O117" s="17">
        <f>ROUND(VLOOKUP(O$115&amp;"_1",管理者用人口入力シート!CO:DL,Q117,FALSE),0)</f>
        <v>7</v>
      </c>
      <c r="P117" s="17">
        <f>ROUND(VLOOKUP(O$115&amp;"_2",管理者用人口入力シート!CO:DL,Q117,FALSE),0)</f>
        <v>14</v>
      </c>
      <c r="Q117" s="2">
        <v>4</v>
      </c>
      <c r="T117" s="85"/>
    </row>
    <row r="118" spans="7:20" x14ac:dyDescent="0.15">
      <c r="G118" s="2" t="s">
        <v>1</v>
      </c>
      <c r="H118" s="17">
        <f>ROUND(VLOOKUP(H$115&amp;"_1",管理者用人口入力シート!BH:CE,J118,FALSE),0)</f>
        <v>6</v>
      </c>
      <c r="I118" s="17">
        <f>ROUND(VLOOKUP(H$115&amp;"_2",管理者用人口入力シート!BH:CE,J118,FALSE),0)</f>
        <v>12</v>
      </c>
      <c r="J118" s="2">
        <v>5</v>
      </c>
      <c r="N118" s="2" t="s">
        <v>1</v>
      </c>
      <c r="O118" s="17">
        <f>ROUND(VLOOKUP(O$115&amp;"_1",管理者用人口入力シート!CO:DL,Q118,FALSE),0)</f>
        <v>8</v>
      </c>
      <c r="P118" s="17">
        <f>ROUND(VLOOKUP(O$115&amp;"_2",管理者用人口入力シート!CO:DL,Q118,FALSE),0)</f>
        <v>14</v>
      </c>
      <c r="Q118" s="2">
        <v>5</v>
      </c>
      <c r="T118" s="85"/>
    </row>
    <row r="119" spans="7:20" x14ac:dyDescent="0.15">
      <c r="G119" s="2" t="s">
        <v>2</v>
      </c>
      <c r="H119" s="17">
        <f>ROUND(VLOOKUP(H$115&amp;"_1",管理者用人口入力シート!BH:CE,J119,FALSE),0)</f>
        <v>7</v>
      </c>
      <c r="I119" s="17">
        <f>ROUND(VLOOKUP(H$115&amp;"_2",管理者用人口入力シート!BH:CE,J119,FALSE),0)</f>
        <v>11</v>
      </c>
      <c r="J119" s="2">
        <v>6</v>
      </c>
      <c r="N119" s="2" t="s">
        <v>2</v>
      </c>
      <c r="O119" s="17">
        <f>ROUND(VLOOKUP(O$115&amp;"_1",管理者用人口入力シート!CO:DL,Q119,FALSE),0)</f>
        <v>10</v>
      </c>
      <c r="P119" s="17">
        <f>ROUND(VLOOKUP(O$115&amp;"_2",管理者用人口入力シート!CO:DL,Q119,FALSE),0)</f>
        <v>13</v>
      </c>
      <c r="Q119" s="2">
        <v>6</v>
      </c>
      <c r="T119" s="85"/>
    </row>
    <row r="120" spans="7:20" x14ac:dyDescent="0.15">
      <c r="G120" s="2" t="s">
        <v>3</v>
      </c>
      <c r="H120" s="17">
        <f>ROUND(VLOOKUP(H$115&amp;"_1",管理者用人口入力シート!BH:CE,J120,FALSE),0)</f>
        <v>7</v>
      </c>
      <c r="I120" s="17">
        <f>ROUND(VLOOKUP(H$115&amp;"_2",管理者用人口入力シート!BH:CE,J120,FALSE),0)</f>
        <v>15</v>
      </c>
      <c r="J120" s="2">
        <v>7</v>
      </c>
      <c r="N120" s="2" t="s">
        <v>3</v>
      </c>
      <c r="O120" s="17">
        <f>ROUND(VLOOKUP(O$115&amp;"_1",管理者用人口入力シート!CO:DL,Q120,FALSE),0)</f>
        <v>7</v>
      </c>
      <c r="P120" s="17">
        <f>ROUND(VLOOKUP(O$115&amp;"_2",管理者用人口入力シート!CO:DL,Q120,FALSE),0)</f>
        <v>16</v>
      </c>
      <c r="Q120" s="2">
        <v>7</v>
      </c>
      <c r="T120" s="85"/>
    </row>
    <row r="121" spans="7:20" x14ac:dyDescent="0.15">
      <c r="G121" s="2" t="s">
        <v>4</v>
      </c>
      <c r="H121" s="17">
        <f>ROUND(VLOOKUP(H$115&amp;"_1",管理者用人口入力シート!BH:CE,J121,FALSE),0)</f>
        <v>7</v>
      </c>
      <c r="I121" s="17">
        <f>ROUND(VLOOKUP(H$115&amp;"_2",管理者用人口入力シート!BH:CE,J121,FALSE),0)</f>
        <v>8</v>
      </c>
      <c r="J121" s="2">
        <v>8</v>
      </c>
      <c r="N121" s="2" t="s">
        <v>4</v>
      </c>
      <c r="O121" s="17">
        <f>ROUND(VLOOKUP(O$115&amp;"_1",管理者用人口入力シート!CO:DL,Q121,FALSE),0)</f>
        <v>7</v>
      </c>
      <c r="P121" s="17">
        <f>ROUND(VLOOKUP(O$115&amp;"_2",管理者用人口入力シート!CO:DL,Q121,FALSE),0)</f>
        <v>9</v>
      </c>
      <c r="Q121" s="2">
        <v>8</v>
      </c>
      <c r="T121" s="85"/>
    </row>
    <row r="122" spans="7:20" x14ac:dyDescent="0.15">
      <c r="G122" s="2" t="s">
        <v>5</v>
      </c>
      <c r="H122" s="17">
        <f>ROUND(VLOOKUP(H$115&amp;"_1",管理者用人口入力シート!BH:CE,J122,FALSE),0)</f>
        <v>4</v>
      </c>
      <c r="I122" s="17">
        <f>ROUND(VLOOKUP(H$115&amp;"_2",管理者用人口入力シート!BH:CE,J122,FALSE),0)</f>
        <v>6</v>
      </c>
      <c r="J122" s="2">
        <v>9</v>
      </c>
      <c r="N122" s="2" t="s">
        <v>5</v>
      </c>
      <c r="O122" s="17">
        <f>ROUND(VLOOKUP(O$115&amp;"_1",管理者用人口入力シート!CO:DL,Q122,FALSE),0)</f>
        <v>6</v>
      </c>
      <c r="P122" s="17">
        <f>ROUND(VLOOKUP(O$115&amp;"_2",管理者用人口入力シート!CO:DL,Q122,FALSE),0)</f>
        <v>8</v>
      </c>
      <c r="Q122" s="2">
        <v>9</v>
      </c>
      <c r="T122" s="85"/>
    </row>
    <row r="123" spans="7:20" x14ac:dyDescent="0.15">
      <c r="G123" s="2" t="s">
        <v>6</v>
      </c>
      <c r="H123" s="17">
        <f>ROUND(VLOOKUP(H$115&amp;"_1",管理者用人口入力シート!BH:CE,J123,FALSE),0)</f>
        <v>2</v>
      </c>
      <c r="I123" s="17">
        <f>ROUND(VLOOKUP(H$115&amp;"_2",管理者用人口入力シート!BH:CE,J123,FALSE),0)</f>
        <v>4</v>
      </c>
      <c r="J123" s="2">
        <v>10</v>
      </c>
      <c r="N123" s="2" t="s">
        <v>6</v>
      </c>
      <c r="O123" s="17">
        <f>ROUND(VLOOKUP(O$115&amp;"_1",管理者用人口入力シート!CO:DL,Q123,FALSE),0)</f>
        <v>3</v>
      </c>
      <c r="P123" s="17">
        <f>ROUND(VLOOKUP(O$115&amp;"_2",管理者用人口入力シート!CO:DL,Q123,FALSE),0)</f>
        <v>6</v>
      </c>
      <c r="Q123" s="2">
        <v>10</v>
      </c>
      <c r="T123" s="85"/>
    </row>
    <row r="124" spans="7:20" x14ac:dyDescent="0.15">
      <c r="G124" s="2" t="s">
        <v>7</v>
      </c>
      <c r="H124" s="17">
        <f>ROUND(VLOOKUP(H$115&amp;"_1",管理者用人口入力シート!BH:CE,J124,FALSE),0)</f>
        <v>2</v>
      </c>
      <c r="I124" s="17">
        <f>ROUND(VLOOKUP(H$115&amp;"_2",管理者用人口入力シート!BH:CE,J124,FALSE),0)</f>
        <v>11</v>
      </c>
      <c r="J124" s="2">
        <v>11</v>
      </c>
      <c r="N124" s="2" t="s">
        <v>7</v>
      </c>
      <c r="O124" s="17">
        <f>ROUND(VLOOKUP(O$115&amp;"_1",管理者用人口入力シート!CO:DL,Q124,FALSE),0)</f>
        <v>4</v>
      </c>
      <c r="P124" s="17">
        <f>ROUND(VLOOKUP(O$115&amp;"_2",管理者用人口入力シート!CO:DL,Q124,FALSE),0)</f>
        <v>13</v>
      </c>
      <c r="Q124" s="2">
        <v>11</v>
      </c>
      <c r="T124" s="85"/>
    </row>
    <row r="125" spans="7:20" x14ac:dyDescent="0.15">
      <c r="G125" s="2" t="s">
        <v>8</v>
      </c>
      <c r="H125" s="17">
        <f>ROUND(VLOOKUP(H$115&amp;"_1",管理者用人口入力シート!BH:CE,J125,FALSE),0)</f>
        <v>7</v>
      </c>
      <c r="I125" s="17">
        <f>ROUND(VLOOKUP(H$115&amp;"_2",管理者用人口入力シート!BH:CE,J125,FALSE),0)</f>
        <v>10</v>
      </c>
      <c r="J125" s="2">
        <v>12</v>
      </c>
      <c r="N125" s="2" t="s">
        <v>8</v>
      </c>
      <c r="O125" s="17">
        <f>ROUND(VLOOKUP(O$115&amp;"_1",管理者用人口入力シート!CO:DL,Q125,FALSE),0)</f>
        <v>7</v>
      </c>
      <c r="P125" s="17">
        <f>ROUND(VLOOKUP(O$115&amp;"_2",管理者用人口入力シート!CO:DL,Q125,FALSE),0)</f>
        <v>11</v>
      </c>
      <c r="Q125" s="2">
        <v>12</v>
      </c>
      <c r="T125" s="85"/>
    </row>
    <row r="126" spans="7:20" x14ac:dyDescent="0.15">
      <c r="G126" s="2" t="s">
        <v>9</v>
      </c>
      <c r="H126" s="17">
        <f>ROUND(VLOOKUP(H$115&amp;"_1",管理者用人口入力シート!BH:CE,J126,FALSE),0)</f>
        <v>4</v>
      </c>
      <c r="I126" s="17">
        <f>ROUND(VLOOKUP(H$115&amp;"_2",管理者用人口入力シート!BH:CE,J126,FALSE),0)</f>
        <v>8</v>
      </c>
      <c r="J126" s="2">
        <v>13</v>
      </c>
      <c r="N126" s="2" t="s">
        <v>9</v>
      </c>
      <c r="O126" s="17">
        <f>ROUND(VLOOKUP(O$115&amp;"_1",管理者用人口入力シート!CO:DL,Q126,FALSE),0)</f>
        <v>4</v>
      </c>
      <c r="P126" s="17">
        <f>ROUND(VLOOKUP(O$115&amp;"_2",管理者用人口入力シート!CO:DL,Q126,FALSE),0)</f>
        <v>9</v>
      </c>
      <c r="Q126" s="2">
        <v>13</v>
      </c>
      <c r="T126" s="85"/>
    </row>
    <row r="127" spans="7:20" x14ac:dyDescent="0.15">
      <c r="G127" s="2" t="s">
        <v>10</v>
      </c>
      <c r="H127" s="17">
        <f>ROUND(VLOOKUP(H$115&amp;"_1",管理者用人口入力シート!BH:CE,J127,FALSE),0)</f>
        <v>21</v>
      </c>
      <c r="I127" s="17">
        <f>ROUND(VLOOKUP(H$115&amp;"_2",管理者用人口入力シート!BH:CE,J127,FALSE),0)</f>
        <v>16</v>
      </c>
      <c r="J127" s="2">
        <v>14</v>
      </c>
      <c r="N127" s="2" t="s">
        <v>10</v>
      </c>
      <c r="O127" s="17">
        <f>ROUND(VLOOKUP(O$115&amp;"_1",管理者用人口入力シート!CO:DL,Q127,FALSE),0)</f>
        <v>21</v>
      </c>
      <c r="P127" s="17">
        <f>ROUND(VLOOKUP(O$115&amp;"_2",管理者用人口入力シート!CO:DL,Q127,FALSE),0)</f>
        <v>17</v>
      </c>
      <c r="Q127" s="2">
        <v>14</v>
      </c>
      <c r="T127" s="85"/>
    </row>
    <row r="128" spans="7:20" x14ac:dyDescent="0.15">
      <c r="G128" s="2" t="s">
        <v>11</v>
      </c>
      <c r="H128" s="17">
        <f>ROUND(VLOOKUP(H$115&amp;"_1",管理者用人口入力シート!BH:CE,J128,FALSE),0)</f>
        <v>12</v>
      </c>
      <c r="I128" s="17">
        <f>ROUND(VLOOKUP(H$115&amp;"_2",管理者用人口入力シート!BH:CE,J128,FALSE),0)</f>
        <v>11</v>
      </c>
      <c r="J128" s="2">
        <v>15</v>
      </c>
      <c r="N128" s="2" t="s">
        <v>11</v>
      </c>
      <c r="O128" s="17">
        <f>ROUND(VLOOKUP(O$115&amp;"_1",管理者用人口入力シート!CO:DL,Q128,FALSE),0)</f>
        <v>12</v>
      </c>
      <c r="P128" s="17">
        <f>ROUND(VLOOKUP(O$115&amp;"_2",管理者用人口入力シート!CO:DL,Q128,FALSE),0)</f>
        <v>11</v>
      </c>
      <c r="Q128" s="2">
        <v>15</v>
      </c>
      <c r="T128" s="85"/>
    </row>
    <row r="129" spans="7:20" x14ac:dyDescent="0.15">
      <c r="G129" s="2" t="s">
        <v>12</v>
      </c>
      <c r="H129" s="17">
        <f>ROUND(VLOOKUP(H$115&amp;"_1",管理者用人口入力シート!BH:CE,J129,FALSE),0)</f>
        <v>22</v>
      </c>
      <c r="I129" s="17">
        <f>ROUND(VLOOKUP(H$115&amp;"_2",管理者用人口入力シート!BH:CE,J129,FALSE),0)</f>
        <v>24</v>
      </c>
      <c r="J129" s="2">
        <v>16</v>
      </c>
      <c r="N129" s="2" t="s">
        <v>12</v>
      </c>
      <c r="O129" s="17">
        <f>ROUND(VLOOKUP(O$115&amp;"_1",管理者用人口入力シート!CO:DL,Q129,FALSE),0)</f>
        <v>22</v>
      </c>
      <c r="P129" s="17">
        <f>ROUND(VLOOKUP(O$115&amp;"_2",管理者用人口入力シート!CO:DL,Q129,FALSE),0)</f>
        <v>24</v>
      </c>
      <c r="Q129" s="2">
        <v>16</v>
      </c>
      <c r="T129" s="85"/>
    </row>
    <row r="130" spans="7:20" x14ac:dyDescent="0.15">
      <c r="G130" s="2" t="s">
        <v>13</v>
      </c>
      <c r="H130" s="17">
        <f>ROUND(VLOOKUP(H$115&amp;"_1",管理者用人口入力シート!BH:CE,J130,FALSE),0)</f>
        <v>20</v>
      </c>
      <c r="I130" s="17">
        <f>ROUND(VLOOKUP(H$115&amp;"_2",管理者用人口入力シート!BH:CE,J130,FALSE),0)</f>
        <v>25</v>
      </c>
      <c r="J130" s="2">
        <v>17</v>
      </c>
      <c r="N130" s="2" t="s">
        <v>13</v>
      </c>
      <c r="O130" s="17">
        <f>ROUND(VLOOKUP(O$115&amp;"_1",管理者用人口入力シート!CO:DL,Q130,FALSE),0)</f>
        <v>20</v>
      </c>
      <c r="P130" s="17">
        <f>ROUND(VLOOKUP(O$115&amp;"_2",管理者用人口入力シート!CO:DL,Q130,FALSE),0)</f>
        <v>25</v>
      </c>
      <c r="Q130" s="2">
        <v>17</v>
      </c>
      <c r="T130" s="85"/>
    </row>
    <row r="131" spans="7:20" x14ac:dyDescent="0.15">
      <c r="G131" s="2" t="s">
        <v>14</v>
      </c>
      <c r="H131" s="17">
        <f>ROUND(VLOOKUP(H$115&amp;"_1",管理者用人口入力シート!BH:CE,J131,FALSE),0)</f>
        <v>22</v>
      </c>
      <c r="I131" s="17">
        <f>ROUND(VLOOKUP(H$115&amp;"_2",管理者用人口入力シート!BH:CE,J131,FALSE),0)</f>
        <v>28</v>
      </c>
      <c r="J131" s="2">
        <v>18</v>
      </c>
      <c r="N131" s="2" t="s">
        <v>14</v>
      </c>
      <c r="O131" s="17">
        <f>ROUND(VLOOKUP(O$115&amp;"_1",管理者用人口入力シート!CO:DL,Q131,FALSE),0)</f>
        <v>22</v>
      </c>
      <c r="P131" s="17">
        <f>ROUND(VLOOKUP(O$115&amp;"_2",管理者用人口入力シート!CO:DL,Q131,FALSE),0)</f>
        <v>28</v>
      </c>
      <c r="Q131" s="2">
        <v>18</v>
      </c>
      <c r="T131" s="85"/>
    </row>
    <row r="132" spans="7:20" x14ac:dyDescent="0.15">
      <c r="G132" s="2" t="s">
        <v>15</v>
      </c>
      <c r="H132" s="17">
        <f>ROUND(VLOOKUP(H$115&amp;"_1",管理者用人口入力シート!BH:CE,J132,FALSE),0)</f>
        <v>23</v>
      </c>
      <c r="I132" s="17">
        <f>ROUND(VLOOKUP(H$115&amp;"_2",管理者用人口入力シート!BH:CE,J132,FALSE),0)</f>
        <v>29</v>
      </c>
      <c r="J132" s="2">
        <v>19</v>
      </c>
      <c r="N132" s="2" t="s">
        <v>15</v>
      </c>
      <c r="O132" s="17">
        <f>ROUND(VLOOKUP(O$115&amp;"_1",管理者用人口入力シート!CO:DL,Q132,FALSE),0)</f>
        <v>23</v>
      </c>
      <c r="P132" s="17">
        <f>ROUND(VLOOKUP(O$115&amp;"_2",管理者用人口入力シート!CO:DL,Q132,FALSE),0)</f>
        <v>29</v>
      </c>
      <c r="Q132" s="2">
        <v>19</v>
      </c>
      <c r="T132" s="85"/>
    </row>
    <row r="133" spans="7:20" x14ac:dyDescent="0.15">
      <c r="G133" s="2" t="s">
        <v>16</v>
      </c>
      <c r="H133" s="17">
        <f>ROUND(VLOOKUP(H$115&amp;"_1",管理者用人口入力シート!BH:CE,J133,FALSE),0)</f>
        <v>20</v>
      </c>
      <c r="I133" s="17">
        <f>ROUND(VLOOKUP(H$115&amp;"_2",管理者用人口入力シート!BH:CE,J133,FALSE),0)</f>
        <v>26</v>
      </c>
      <c r="J133" s="2">
        <v>20</v>
      </c>
      <c r="N133" s="2" t="s">
        <v>16</v>
      </c>
      <c r="O133" s="17">
        <f>ROUND(VLOOKUP(O$115&amp;"_1",管理者用人口入力シート!CO:DL,Q133,FALSE),0)</f>
        <v>20</v>
      </c>
      <c r="P133" s="17">
        <f>ROUND(VLOOKUP(O$115&amp;"_2",管理者用人口入力シート!CO:DL,Q133,FALSE),0)</f>
        <v>26</v>
      </c>
      <c r="Q133" s="2">
        <v>20</v>
      </c>
      <c r="T133" s="85"/>
    </row>
    <row r="134" spans="7:20" x14ac:dyDescent="0.15">
      <c r="G134" s="2" t="s">
        <v>17</v>
      </c>
      <c r="H134" s="17">
        <f>ROUND(VLOOKUP(H$115&amp;"_1",管理者用人口入力シート!BH:CE,J134,FALSE),0)</f>
        <v>16</v>
      </c>
      <c r="I134" s="17">
        <f>ROUND(VLOOKUP(H$115&amp;"_2",管理者用人口入力シート!BH:CE,J134,FALSE),0)</f>
        <v>21</v>
      </c>
      <c r="J134" s="2">
        <v>21</v>
      </c>
      <c r="N134" s="2" t="s">
        <v>17</v>
      </c>
      <c r="O134" s="17">
        <f>ROUND(VLOOKUP(O$115&amp;"_1",管理者用人口入力シート!CO:DL,Q134,FALSE),0)</f>
        <v>16</v>
      </c>
      <c r="P134" s="17">
        <f>ROUND(VLOOKUP(O$115&amp;"_2",管理者用人口入力シート!CO:DL,Q134,FALSE),0)</f>
        <v>21</v>
      </c>
      <c r="Q134" s="2">
        <v>21</v>
      </c>
      <c r="T134" s="85"/>
    </row>
    <row r="135" spans="7:20" x14ac:dyDescent="0.15">
      <c r="G135" s="2" t="s">
        <v>18</v>
      </c>
      <c r="H135" s="17">
        <f>ROUND(VLOOKUP(H$115&amp;"_1",管理者用人口入力シート!BH:CE,J135,FALSE),0)</f>
        <v>4</v>
      </c>
      <c r="I135" s="17">
        <f>ROUND(VLOOKUP(H$115&amp;"_2",管理者用人口入力シート!BH:CE,J135,FALSE),0)</f>
        <v>10</v>
      </c>
      <c r="J135" s="2">
        <v>22</v>
      </c>
      <c r="N135" s="2" t="s">
        <v>18</v>
      </c>
      <c r="O135" s="17">
        <f>ROUND(VLOOKUP(O$115&amp;"_1",管理者用人口入力シート!CO:DL,Q135,FALSE),0)</f>
        <v>4</v>
      </c>
      <c r="P135" s="17">
        <f>ROUND(VLOOKUP(O$115&amp;"_2",管理者用人口入力シート!CO:DL,Q135,FALSE),0)</f>
        <v>10</v>
      </c>
      <c r="Q135" s="2">
        <v>22</v>
      </c>
      <c r="T135" s="85"/>
    </row>
    <row r="136" spans="7:20" x14ac:dyDescent="0.15">
      <c r="G136" s="2" t="s">
        <v>19</v>
      </c>
      <c r="H136" s="17">
        <f>ROUND(VLOOKUP(H$115&amp;"_1",管理者用人口入力シート!BH:CE,J136,FALSE),0)</f>
        <v>0</v>
      </c>
      <c r="I136" s="17">
        <f>ROUND(VLOOKUP(H$115&amp;"_2",管理者用人口入力シート!BH:CE,J136,FALSE),0)</f>
        <v>3</v>
      </c>
      <c r="J136" s="2">
        <v>23</v>
      </c>
      <c r="N136" s="2" t="s">
        <v>19</v>
      </c>
      <c r="O136" s="17">
        <f>ROUND(VLOOKUP(O$115&amp;"_1",管理者用人口入力シート!CO:DL,Q136,FALSE),0)</f>
        <v>0</v>
      </c>
      <c r="P136" s="17">
        <f>ROUND(VLOOKUP(O$115&amp;"_2",管理者用人口入力シート!CO:DL,Q136,FALSE),0)</f>
        <v>3</v>
      </c>
      <c r="Q136" s="2">
        <v>23</v>
      </c>
      <c r="T136" s="85"/>
    </row>
    <row r="137" spans="7:20" x14ac:dyDescent="0.15">
      <c r="G137" s="2" t="s">
        <v>20</v>
      </c>
      <c r="H137" s="17">
        <f>ROUND(VLOOKUP(H$115&amp;"_1",管理者用人口入力シート!BH:CE,J137,FALSE),0)</f>
        <v>0</v>
      </c>
      <c r="I137" s="17">
        <f>ROUND(VLOOKUP(H$115&amp;"_2",管理者用人口入力シート!BH:CE,J137,FALSE),0)</f>
        <v>0</v>
      </c>
      <c r="J137" s="2">
        <v>24</v>
      </c>
      <c r="N137" s="2" t="s">
        <v>20</v>
      </c>
      <c r="O137" s="17">
        <f>ROUND(VLOOKUP(O$115&amp;"_1",管理者用人口入力シート!CO:DL,Q137,FALSE),0)</f>
        <v>0</v>
      </c>
      <c r="P137" s="17">
        <f>ROUND(VLOOKUP(O$115&amp;"_2",管理者用人口入力シート!CO:DL,Q137,FALSE),0)</f>
        <v>0</v>
      </c>
      <c r="Q137" s="2">
        <v>24</v>
      </c>
      <c r="T137" s="85"/>
    </row>
    <row r="139" spans="7:20" x14ac:dyDescent="0.15">
      <c r="G139" s="2" t="s">
        <v>109</v>
      </c>
      <c r="H139" s="315">
        <f>管理者入力シート!B11</f>
        <v>2040</v>
      </c>
      <c r="I139" s="316"/>
      <c r="J139" s="2" t="s">
        <v>114</v>
      </c>
      <c r="O139" s="315">
        <f>管理者入力シート!B11</f>
        <v>2040</v>
      </c>
      <c r="P139" s="316"/>
      <c r="Q139" s="2" t="s">
        <v>114</v>
      </c>
    </row>
    <row r="140" spans="7:20" x14ac:dyDescent="0.15">
      <c r="G140" s="2" t="s">
        <v>115</v>
      </c>
      <c r="H140" s="18" t="s">
        <v>21</v>
      </c>
      <c r="I140" s="18" t="s">
        <v>22</v>
      </c>
      <c r="N140" s="2" t="s">
        <v>115</v>
      </c>
      <c r="O140" s="18" t="s">
        <v>21</v>
      </c>
      <c r="P140" s="18" t="s">
        <v>22</v>
      </c>
    </row>
    <row r="141" spans="7:20" x14ac:dyDescent="0.15">
      <c r="G141" s="2" t="s">
        <v>0</v>
      </c>
      <c r="H141" s="17">
        <f>ROUND(VLOOKUP(H$139&amp;"_1",管理者用人口入力シート!BH:CE,J141,FALSE),0)</f>
        <v>5</v>
      </c>
      <c r="I141" s="17">
        <f>ROUND(VLOOKUP(H$139&amp;"_2",管理者用人口入力シート!BH:CE,J141,FALSE),0)</f>
        <v>10</v>
      </c>
      <c r="J141" s="2">
        <v>4</v>
      </c>
      <c r="N141" s="2" t="s">
        <v>0</v>
      </c>
      <c r="O141" s="17">
        <f>ROUND(VLOOKUP(O$139&amp;"_1",管理者用人口入力シート!CO:DL,Q141,FALSE),0)</f>
        <v>7</v>
      </c>
      <c r="P141" s="17">
        <f>ROUND(VLOOKUP(O$139&amp;"_2",管理者用人口入力シート!CO:DL,Q141,FALSE),0)</f>
        <v>14</v>
      </c>
      <c r="Q141" s="2">
        <v>4</v>
      </c>
    </row>
    <row r="142" spans="7:20" x14ac:dyDescent="0.15">
      <c r="G142" s="2" t="s">
        <v>1</v>
      </c>
      <c r="H142" s="17">
        <f>ROUND(VLOOKUP(H$139&amp;"_1",管理者用人口入力シート!BH:CE,J142,FALSE),0)</f>
        <v>6</v>
      </c>
      <c r="I142" s="17">
        <f>ROUND(VLOOKUP(H$139&amp;"_2",管理者用人口入力シート!BH:CE,J142,FALSE),0)</f>
        <v>11</v>
      </c>
      <c r="J142" s="2">
        <v>5</v>
      </c>
      <c r="N142" s="2" t="s">
        <v>1</v>
      </c>
      <c r="O142" s="17">
        <f>ROUND(VLOOKUP(O$139&amp;"_1",管理者用人口入力シート!CO:DL,Q142,FALSE),0)</f>
        <v>8</v>
      </c>
      <c r="P142" s="17">
        <f>ROUND(VLOOKUP(O$139&amp;"_2",管理者用人口入力シート!CO:DL,Q142,FALSE),0)</f>
        <v>15</v>
      </c>
      <c r="Q142" s="2">
        <v>5</v>
      </c>
    </row>
    <row r="143" spans="7:20" x14ac:dyDescent="0.15">
      <c r="G143" s="2" t="s">
        <v>2</v>
      </c>
      <c r="H143" s="17">
        <f>ROUND(VLOOKUP(H$139&amp;"_1",管理者用人口入力シート!BH:CE,J143,FALSE),0)</f>
        <v>7</v>
      </c>
      <c r="I143" s="17">
        <f>ROUND(VLOOKUP(H$139&amp;"_2",管理者用人口入力シート!BH:CE,J143,FALSE),0)</f>
        <v>10</v>
      </c>
      <c r="J143" s="2">
        <v>6</v>
      </c>
      <c r="N143" s="2" t="s">
        <v>2</v>
      </c>
      <c r="O143" s="17">
        <f>ROUND(VLOOKUP(O$139&amp;"_1",管理者用人口入力シート!CO:DL,Q143,FALSE),0)</f>
        <v>10</v>
      </c>
      <c r="P143" s="17">
        <f>ROUND(VLOOKUP(O$139&amp;"_2",管理者用人口入力シート!CO:DL,Q143,FALSE),0)</f>
        <v>13</v>
      </c>
      <c r="Q143" s="2">
        <v>6</v>
      </c>
    </row>
    <row r="144" spans="7:20" x14ac:dyDescent="0.15">
      <c r="G144" s="2" t="s">
        <v>3</v>
      </c>
      <c r="H144" s="17">
        <f>ROUND(VLOOKUP(H$139&amp;"_1",管理者用人口入力シート!BH:CE,J144,FALSE),0)</f>
        <v>5</v>
      </c>
      <c r="I144" s="17">
        <f>ROUND(VLOOKUP(H$139&amp;"_2",管理者用人口入力シート!BH:CE,J144,FALSE),0)</f>
        <v>12</v>
      </c>
      <c r="J144" s="2">
        <v>7</v>
      </c>
      <c r="N144" s="2" t="s">
        <v>3</v>
      </c>
      <c r="O144" s="17">
        <f>ROUND(VLOOKUP(O$139&amp;"_1",管理者用人口入力シート!CO:DL,Q144,FALSE),0)</f>
        <v>7</v>
      </c>
      <c r="P144" s="17">
        <f>ROUND(VLOOKUP(O$139&amp;"_2",管理者用人口入力シート!CO:DL,Q144,FALSE),0)</f>
        <v>14</v>
      </c>
      <c r="Q144" s="2">
        <v>7</v>
      </c>
    </row>
    <row r="145" spans="7:17" x14ac:dyDescent="0.15">
      <c r="G145" s="2" t="s">
        <v>4</v>
      </c>
      <c r="H145" s="17">
        <f>ROUND(VLOOKUP(H$139&amp;"_1",管理者用人口入力シート!BH:CE,J145,FALSE),0)</f>
        <v>4</v>
      </c>
      <c r="I145" s="17">
        <f>ROUND(VLOOKUP(H$139&amp;"_2",管理者用人口入力シート!BH:CE,J145,FALSE),0)</f>
        <v>10</v>
      </c>
      <c r="J145" s="2">
        <v>8</v>
      </c>
      <c r="N145" s="2" t="s">
        <v>4</v>
      </c>
      <c r="O145" s="17">
        <f>ROUND(VLOOKUP(O$139&amp;"_1",管理者用人口入力シート!CO:DL,Q145,FALSE),0)</f>
        <v>4</v>
      </c>
      <c r="P145" s="17">
        <f>ROUND(VLOOKUP(O$139&amp;"_2",管理者用人口入力シート!CO:DL,Q145,FALSE),0)</f>
        <v>11</v>
      </c>
      <c r="Q145" s="2">
        <v>8</v>
      </c>
    </row>
    <row r="146" spans="7:17" x14ac:dyDescent="0.15">
      <c r="G146" s="2" t="s">
        <v>5</v>
      </c>
      <c r="H146" s="17">
        <f>ROUND(VLOOKUP(H$139&amp;"_1",管理者用人口入力シート!BH:CE,J146,FALSE),0)</f>
        <v>4</v>
      </c>
      <c r="I146" s="17">
        <f>ROUND(VLOOKUP(H$139&amp;"_2",管理者用人口入力シート!BH:CE,J146,FALSE),0)</f>
        <v>6</v>
      </c>
      <c r="J146" s="2">
        <v>9</v>
      </c>
      <c r="N146" s="2" t="s">
        <v>5</v>
      </c>
      <c r="O146" s="17">
        <f>ROUND(VLOOKUP(O$139&amp;"_1",管理者用人口入力シート!CO:DL,Q146,FALSE),0)</f>
        <v>6</v>
      </c>
      <c r="P146" s="17">
        <f>ROUND(VLOOKUP(O$139&amp;"_2",管理者用人口入力シート!CO:DL,Q146,FALSE),0)</f>
        <v>9</v>
      </c>
      <c r="Q146" s="2">
        <v>9</v>
      </c>
    </row>
    <row r="147" spans="7:17" x14ac:dyDescent="0.15">
      <c r="G147" s="2" t="s">
        <v>6</v>
      </c>
      <c r="H147" s="17">
        <f>ROUND(VLOOKUP(H$139&amp;"_1",管理者用人口入力シート!BH:CE,J147,FALSE),0)</f>
        <v>3</v>
      </c>
      <c r="I147" s="17">
        <f>ROUND(VLOOKUP(H$139&amp;"_2",管理者用人口入力シート!BH:CE,J147,FALSE),0)</f>
        <v>5</v>
      </c>
      <c r="J147" s="2">
        <v>10</v>
      </c>
      <c r="N147" s="2" t="s">
        <v>6</v>
      </c>
      <c r="O147" s="17">
        <f>ROUND(VLOOKUP(O$139&amp;"_1",管理者用人口入力シート!CO:DL,Q147,FALSE),0)</f>
        <v>4</v>
      </c>
      <c r="P147" s="17">
        <f>ROUND(VLOOKUP(O$139&amp;"_2",管理者用人口入力シート!CO:DL,Q147,FALSE),0)</f>
        <v>6</v>
      </c>
      <c r="Q147" s="2">
        <v>10</v>
      </c>
    </row>
    <row r="148" spans="7:17" x14ac:dyDescent="0.15">
      <c r="G148" s="2" t="s">
        <v>7</v>
      </c>
      <c r="H148" s="17">
        <f>ROUND(VLOOKUP(H$139&amp;"_1",管理者用人口入力シート!BH:CE,J148,FALSE),0)</f>
        <v>2</v>
      </c>
      <c r="I148" s="17">
        <f>ROUND(VLOOKUP(H$139&amp;"_2",管理者用人口入力シート!BH:CE,J148,FALSE),0)</f>
        <v>7</v>
      </c>
      <c r="J148" s="2">
        <v>11</v>
      </c>
      <c r="N148" s="2" t="s">
        <v>7</v>
      </c>
      <c r="O148" s="17">
        <f>ROUND(VLOOKUP(O$139&amp;"_1",管理者用人口入力シート!CO:DL,Q148,FALSE),0)</f>
        <v>3</v>
      </c>
      <c r="P148" s="17">
        <f>ROUND(VLOOKUP(O$139&amp;"_2",管理者用人口入力シート!CO:DL,Q148,FALSE),0)</f>
        <v>9</v>
      </c>
      <c r="Q148" s="2">
        <v>11</v>
      </c>
    </row>
    <row r="149" spans="7:17" x14ac:dyDescent="0.15">
      <c r="G149" s="2" t="s">
        <v>8</v>
      </c>
      <c r="H149" s="17">
        <f>ROUND(VLOOKUP(H$139&amp;"_1",管理者用人口入力シート!BH:CE,J149,FALSE),0)</f>
        <v>3</v>
      </c>
      <c r="I149" s="17">
        <f>ROUND(VLOOKUP(H$139&amp;"_2",管理者用人口入力シート!BH:CE,J149,FALSE),0)</f>
        <v>11</v>
      </c>
      <c r="J149" s="2">
        <v>12</v>
      </c>
      <c r="N149" s="2" t="s">
        <v>8</v>
      </c>
      <c r="O149" s="17">
        <f>ROUND(VLOOKUP(O$139&amp;"_1",管理者用人口入力シート!CO:DL,Q149,FALSE),0)</f>
        <v>5</v>
      </c>
      <c r="P149" s="17">
        <f>ROUND(VLOOKUP(O$139&amp;"_2",管理者用人口入力シート!CO:DL,Q149,FALSE),0)</f>
        <v>14</v>
      </c>
      <c r="Q149" s="2">
        <v>12</v>
      </c>
    </row>
    <row r="150" spans="7:17" x14ac:dyDescent="0.15">
      <c r="G150" s="2" t="s">
        <v>9</v>
      </c>
      <c r="H150" s="17">
        <f>ROUND(VLOOKUP(H$139&amp;"_1",管理者用人口入力シート!BH:CE,J150,FALSE),0)</f>
        <v>7</v>
      </c>
      <c r="I150" s="17">
        <f>ROUND(VLOOKUP(H$139&amp;"_2",管理者用人口入力シート!BH:CE,J150,FALSE),0)</f>
        <v>9</v>
      </c>
      <c r="J150" s="2">
        <v>13</v>
      </c>
      <c r="N150" s="2" t="s">
        <v>9</v>
      </c>
      <c r="O150" s="17">
        <f>ROUND(VLOOKUP(O$139&amp;"_1",管理者用人口入力シート!CO:DL,Q150,FALSE),0)</f>
        <v>7</v>
      </c>
      <c r="P150" s="17">
        <f>ROUND(VLOOKUP(O$139&amp;"_2",管理者用人口入力シート!CO:DL,Q150,FALSE),0)</f>
        <v>9</v>
      </c>
      <c r="Q150" s="2">
        <v>13</v>
      </c>
    </row>
    <row r="151" spans="7:17" x14ac:dyDescent="0.15">
      <c r="G151" s="2" t="s">
        <v>10</v>
      </c>
      <c r="H151" s="17">
        <f>ROUND(VLOOKUP(H$139&amp;"_1",管理者用人口入力シート!BH:CE,J151,FALSE),0)</f>
        <v>4</v>
      </c>
      <c r="I151" s="17">
        <f>ROUND(VLOOKUP(H$139&amp;"_2",管理者用人口入力シート!BH:CE,J151,FALSE),0)</f>
        <v>9</v>
      </c>
      <c r="J151" s="2">
        <v>14</v>
      </c>
      <c r="N151" s="2" t="s">
        <v>10</v>
      </c>
      <c r="O151" s="17">
        <f>ROUND(VLOOKUP(O$139&amp;"_1",管理者用人口入力シート!CO:DL,Q151,FALSE),0)</f>
        <v>4</v>
      </c>
      <c r="P151" s="17">
        <f>ROUND(VLOOKUP(O$139&amp;"_2",管理者用人口入力シート!CO:DL,Q151,FALSE),0)</f>
        <v>10</v>
      </c>
      <c r="Q151" s="2">
        <v>14</v>
      </c>
    </row>
    <row r="152" spans="7:17" x14ac:dyDescent="0.15">
      <c r="G152" s="2" t="s">
        <v>11</v>
      </c>
      <c r="H152" s="17">
        <f>ROUND(VLOOKUP(H$139&amp;"_1",管理者用人口入力シート!BH:CE,J152,FALSE),0)</f>
        <v>18</v>
      </c>
      <c r="I152" s="17">
        <f>ROUND(VLOOKUP(H$139&amp;"_2",管理者用人口入力シート!BH:CE,J152,FALSE),0)</f>
        <v>14</v>
      </c>
      <c r="J152" s="2">
        <v>15</v>
      </c>
      <c r="N152" s="2" t="s">
        <v>11</v>
      </c>
      <c r="O152" s="17">
        <f>ROUND(VLOOKUP(O$139&amp;"_1",管理者用人口入力シート!CO:DL,Q152,FALSE),0)</f>
        <v>18</v>
      </c>
      <c r="P152" s="17">
        <f>ROUND(VLOOKUP(O$139&amp;"_2",管理者用人口入力シート!CO:DL,Q152,FALSE),0)</f>
        <v>15</v>
      </c>
      <c r="Q152" s="2">
        <v>15</v>
      </c>
    </row>
    <row r="153" spans="7:17" x14ac:dyDescent="0.15">
      <c r="G153" s="2" t="s">
        <v>12</v>
      </c>
      <c r="H153" s="17">
        <f>ROUND(VLOOKUP(H$139&amp;"_1",管理者用人口入力シート!BH:CE,J153,FALSE),0)</f>
        <v>13</v>
      </c>
      <c r="I153" s="17">
        <f>ROUND(VLOOKUP(H$139&amp;"_2",管理者用人口入力シート!BH:CE,J153,FALSE),0)</f>
        <v>13</v>
      </c>
      <c r="J153" s="2">
        <v>16</v>
      </c>
      <c r="N153" s="2" t="s">
        <v>12</v>
      </c>
      <c r="O153" s="17">
        <f>ROUND(VLOOKUP(O$139&amp;"_1",管理者用人口入力シート!CO:DL,Q153,FALSE),0)</f>
        <v>13</v>
      </c>
      <c r="P153" s="17">
        <f>ROUND(VLOOKUP(O$139&amp;"_2",管理者用人口入力シート!CO:DL,Q153,FALSE),0)</f>
        <v>13</v>
      </c>
      <c r="Q153" s="2">
        <v>16</v>
      </c>
    </row>
    <row r="154" spans="7:17" x14ac:dyDescent="0.15">
      <c r="G154" s="2" t="s">
        <v>13</v>
      </c>
      <c r="H154" s="17">
        <f>ROUND(VLOOKUP(H$139&amp;"_1",管理者用人口入力シート!BH:CE,J154,FALSE),0)</f>
        <v>22</v>
      </c>
      <c r="I154" s="17">
        <f>ROUND(VLOOKUP(H$139&amp;"_2",管理者用人口入力シート!BH:CE,J154,FALSE),0)</f>
        <v>24</v>
      </c>
      <c r="J154" s="2">
        <v>17</v>
      </c>
      <c r="N154" s="2" t="s">
        <v>13</v>
      </c>
      <c r="O154" s="17">
        <f>ROUND(VLOOKUP(O$139&amp;"_1",管理者用人口入力シート!CO:DL,Q154,FALSE),0)</f>
        <v>22</v>
      </c>
      <c r="P154" s="17">
        <f>ROUND(VLOOKUP(O$139&amp;"_2",管理者用人口入力シート!CO:DL,Q154,FALSE),0)</f>
        <v>24</v>
      </c>
      <c r="Q154" s="2">
        <v>17</v>
      </c>
    </row>
    <row r="155" spans="7:17" x14ac:dyDescent="0.15">
      <c r="G155" s="2" t="s">
        <v>14</v>
      </c>
      <c r="H155" s="17">
        <f>ROUND(VLOOKUP(H$139&amp;"_1",管理者用人口入力シート!BH:CE,J155,FALSE),0)</f>
        <v>19</v>
      </c>
      <c r="I155" s="17">
        <f>ROUND(VLOOKUP(H$139&amp;"_2",管理者用人口入力シート!BH:CE,J155,FALSE),0)</f>
        <v>25</v>
      </c>
      <c r="J155" s="2">
        <v>18</v>
      </c>
      <c r="N155" s="2" t="s">
        <v>14</v>
      </c>
      <c r="O155" s="17">
        <f>ROUND(VLOOKUP(O$139&amp;"_1",管理者用人口入力シート!CO:DL,Q155,FALSE),0)</f>
        <v>19</v>
      </c>
      <c r="P155" s="17">
        <f>ROUND(VLOOKUP(O$139&amp;"_2",管理者用人口入力シート!CO:DL,Q155,FALSE),0)</f>
        <v>25</v>
      </c>
      <c r="Q155" s="2">
        <v>18</v>
      </c>
    </row>
    <row r="156" spans="7:17" x14ac:dyDescent="0.15">
      <c r="G156" s="2" t="s">
        <v>15</v>
      </c>
      <c r="H156" s="17">
        <f>ROUND(VLOOKUP(H$139&amp;"_1",管理者用人口入力シート!BH:CE,J156,FALSE),0)</f>
        <v>20</v>
      </c>
      <c r="I156" s="17">
        <f>ROUND(VLOOKUP(H$139&amp;"_2",管理者用人口入力シート!BH:CE,J156,FALSE),0)</f>
        <v>24</v>
      </c>
      <c r="J156" s="2">
        <v>19</v>
      </c>
      <c r="N156" s="2" t="s">
        <v>15</v>
      </c>
      <c r="O156" s="17">
        <f>ROUND(VLOOKUP(O$139&amp;"_1",管理者用人口入力シート!CO:DL,Q156,FALSE),0)</f>
        <v>20</v>
      </c>
      <c r="P156" s="17">
        <f>ROUND(VLOOKUP(O$139&amp;"_2",管理者用人口入力シート!CO:DL,Q156,FALSE),0)</f>
        <v>24</v>
      </c>
      <c r="Q156" s="2">
        <v>19</v>
      </c>
    </row>
    <row r="157" spans="7:17" x14ac:dyDescent="0.15">
      <c r="G157" s="2" t="s">
        <v>16</v>
      </c>
      <c r="H157" s="17">
        <f>ROUND(VLOOKUP(H$139&amp;"_1",管理者用人口入力シート!BH:CE,J157,FALSE),0)</f>
        <v>18</v>
      </c>
      <c r="I157" s="17">
        <f>ROUND(VLOOKUP(H$139&amp;"_2",管理者用人口入力シート!BH:CE,J157,FALSE),0)</f>
        <v>22</v>
      </c>
      <c r="J157" s="2">
        <v>20</v>
      </c>
      <c r="N157" s="2" t="s">
        <v>16</v>
      </c>
      <c r="O157" s="17">
        <f>ROUND(VLOOKUP(O$139&amp;"_1",管理者用人口入力シート!CO:DL,Q157,FALSE),0)</f>
        <v>18</v>
      </c>
      <c r="P157" s="17">
        <f>ROUND(VLOOKUP(O$139&amp;"_2",管理者用人口入力シート!CO:DL,Q157,FALSE),0)</f>
        <v>22</v>
      </c>
      <c r="Q157" s="2">
        <v>20</v>
      </c>
    </row>
    <row r="158" spans="7:17" x14ac:dyDescent="0.15">
      <c r="G158" s="2" t="s">
        <v>17</v>
      </c>
      <c r="H158" s="17">
        <f>ROUND(VLOOKUP(H$139&amp;"_1",管理者用人口入力シート!BH:CE,J158,FALSE),0)</f>
        <v>13</v>
      </c>
      <c r="I158" s="17">
        <f>ROUND(VLOOKUP(H$139&amp;"_2",管理者用人口入力シート!BH:CE,J158,FALSE),0)</f>
        <v>20</v>
      </c>
      <c r="J158" s="2">
        <v>21</v>
      </c>
      <c r="N158" s="2" t="s">
        <v>17</v>
      </c>
      <c r="O158" s="17">
        <f>ROUND(VLOOKUP(O$139&amp;"_1",管理者用人口入力シート!CO:DL,Q158,FALSE),0)</f>
        <v>13</v>
      </c>
      <c r="P158" s="17">
        <f>ROUND(VLOOKUP(O$139&amp;"_2",管理者用人口入力シート!CO:DL,Q158,FALSE),0)</f>
        <v>20</v>
      </c>
      <c r="Q158" s="2">
        <v>21</v>
      </c>
    </row>
    <row r="159" spans="7:17" x14ac:dyDescent="0.15">
      <c r="G159" s="2" t="s">
        <v>18</v>
      </c>
      <c r="H159" s="17">
        <f>ROUND(VLOOKUP(H$139&amp;"_1",管理者用人口入力シート!BH:CE,J159,FALSE),0)</f>
        <v>6</v>
      </c>
      <c r="I159" s="17">
        <f>ROUND(VLOOKUP(H$139&amp;"_2",管理者用人口入力シート!BH:CE,J159,FALSE),0)</f>
        <v>11</v>
      </c>
      <c r="J159" s="2">
        <v>22</v>
      </c>
      <c r="N159" s="2" t="s">
        <v>18</v>
      </c>
      <c r="O159" s="17">
        <f>ROUND(VLOOKUP(O$139&amp;"_1",管理者用人口入力シート!CO:DL,Q159,FALSE),0)</f>
        <v>6</v>
      </c>
      <c r="P159" s="17">
        <f>ROUND(VLOOKUP(O$139&amp;"_2",管理者用人口入力シート!CO:DL,Q159,FALSE),0)</f>
        <v>11</v>
      </c>
      <c r="Q159" s="2">
        <v>22</v>
      </c>
    </row>
    <row r="160" spans="7:17" x14ac:dyDescent="0.15">
      <c r="G160" s="2" t="s">
        <v>19</v>
      </c>
      <c r="H160" s="17">
        <f>ROUND(VLOOKUP(H$139&amp;"_1",管理者用人口入力シート!BH:CE,J160,FALSE),0)</f>
        <v>0</v>
      </c>
      <c r="I160" s="17">
        <f>ROUND(VLOOKUP(H$139&amp;"_2",管理者用人口入力シート!BH:CE,J160,FALSE),0)</f>
        <v>3</v>
      </c>
      <c r="J160" s="2">
        <v>23</v>
      </c>
      <c r="N160" s="2" t="s">
        <v>19</v>
      </c>
      <c r="O160" s="17">
        <f>ROUND(VLOOKUP(O$139&amp;"_1",管理者用人口入力シート!CO:DL,Q160,FALSE),0)</f>
        <v>0</v>
      </c>
      <c r="P160" s="17">
        <f>ROUND(VLOOKUP(O$139&amp;"_2",管理者用人口入力シート!CO:DL,Q160,FALSE),0)</f>
        <v>3</v>
      </c>
      <c r="Q160" s="2">
        <v>23</v>
      </c>
    </row>
    <row r="161" spans="7:17" x14ac:dyDescent="0.15">
      <c r="G161" s="2" t="s">
        <v>20</v>
      </c>
      <c r="H161" s="17">
        <f>ROUND(VLOOKUP(H$139&amp;"_1",管理者用人口入力シート!BH:CE,J161,FALSE),0)</f>
        <v>0</v>
      </c>
      <c r="I161" s="17">
        <f>ROUND(VLOOKUP(H$139&amp;"_2",管理者用人口入力シート!BH:CE,J161,FALSE),0)</f>
        <v>0</v>
      </c>
      <c r="J161" s="2">
        <v>24</v>
      </c>
      <c r="N161" s="2" t="s">
        <v>20</v>
      </c>
      <c r="O161" s="17">
        <f>ROUND(VLOOKUP(O$139&amp;"_1",管理者用人口入力シート!CO:DL,Q161,FALSE),0)</f>
        <v>0</v>
      </c>
      <c r="P161" s="17">
        <f>ROUND(VLOOKUP(O$139&amp;"_2",管理者用人口入力シート!CO:DL,Q161,FALSE),0)</f>
        <v>0</v>
      </c>
      <c r="Q161" s="2">
        <v>24</v>
      </c>
    </row>
    <row r="163" spans="7:17" x14ac:dyDescent="0.15">
      <c r="G163" s="2" t="s">
        <v>395</v>
      </c>
      <c r="H163" s="315">
        <f>管理者入力シート!B12</f>
        <v>2045</v>
      </c>
      <c r="I163" s="316"/>
      <c r="J163" s="2" t="s">
        <v>114</v>
      </c>
      <c r="O163" s="315">
        <f>管理者入力シート!B12</f>
        <v>2045</v>
      </c>
      <c r="P163" s="316"/>
      <c r="Q163" s="2" t="s">
        <v>114</v>
      </c>
    </row>
    <row r="164" spans="7:17" x14ac:dyDescent="0.15">
      <c r="G164" s="2" t="s">
        <v>115</v>
      </c>
      <c r="H164" s="18" t="s">
        <v>21</v>
      </c>
      <c r="I164" s="18" t="s">
        <v>22</v>
      </c>
      <c r="N164" s="2" t="s">
        <v>115</v>
      </c>
      <c r="O164" s="18" t="s">
        <v>21</v>
      </c>
      <c r="P164" s="18" t="s">
        <v>22</v>
      </c>
    </row>
    <row r="165" spans="7:17" x14ac:dyDescent="0.15">
      <c r="G165" s="2" t="s">
        <v>0</v>
      </c>
      <c r="H165" s="17">
        <f>ROUND(VLOOKUP(H$163&amp;"_1",管理者用人口入力シート!BH:CE,J165,FALSE),0)</f>
        <v>4</v>
      </c>
      <c r="I165" s="17">
        <f>ROUND(VLOOKUP(H$163&amp;"_2",管理者用人口入力シート!BH:CE,J165,FALSE),0)</f>
        <v>10</v>
      </c>
      <c r="J165" s="2">
        <v>4</v>
      </c>
      <c r="N165" s="2" t="s">
        <v>0</v>
      </c>
      <c r="O165" s="17">
        <f>ROUND(VLOOKUP(O$163&amp;"_1",管理者用人口入力シート!CO:DL,Q165,FALSE),0)</f>
        <v>7</v>
      </c>
      <c r="P165" s="17">
        <f>ROUND(VLOOKUP(O$163&amp;"_2",管理者用人口入力シート!CO:DL,Q165,FALSE),0)</f>
        <v>14</v>
      </c>
      <c r="Q165" s="2">
        <v>4</v>
      </c>
    </row>
    <row r="166" spans="7:17" x14ac:dyDescent="0.15">
      <c r="G166" s="2" t="s">
        <v>1</v>
      </c>
      <c r="H166" s="17">
        <f>ROUND(VLOOKUP(H$163&amp;"_1",管理者用人口入力シート!BH:CE,J166,FALSE),0)</f>
        <v>6</v>
      </c>
      <c r="I166" s="17">
        <f>ROUND(VLOOKUP(H$163&amp;"_2",管理者用人口入力シート!BH:CE,J166,FALSE),0)</f>
        <v>11</v>
      </c>
      <c r="J166" s="2">
        <v>5</v>
      </c>
      <c r="N166" s="2" t="s">
        <v>1</v>
      </c>
      <c r="O166" s="17">
        <f>ROUND(VLOOKUP(O$163&amp;"_1",管理者用人口入力シート!CO:DL,Q166,FALSE),0)</f>
        <v>8</v>
      </c>
      <c r="P166" s="17">
        <f>ROUND(VLOOKUP(O$163&amp;"_2",管理者用人口入力シート!CO:DL,Q166,FALSE),0)</f>
        <v>14</v>
      </c>
      <c r="Q166" s="2">
        <v>5</v>
      </c>
    </row>
    <row r="167" spans="7:17" x14ac:dyDescent="0.15">
      <c r="G167" s="2" t="s">
        <v>2</v>
      </c>
      <c r="H167" s="17">
        <f>ROUND(VLOOKUP(H$163&amp;"_1",管理者用人口入力シート!BH:CE,J167,FALSE),0)</f>
        <v>7</v>
      </c>
      <c r="I167" s="17">
        <f>ROUND(VLOOKUP(H$163&amp;"_2",管理者用人口入力シート!BH:CE,J167,FALSE),0)</f>
        <v>10</v>
      </c>
      <c r="J167" s="2">
        <v>6</v>
      </c>
      <c r="N167" s="2" t="s">
        <v>2</v>
      </c>
      <c r="O167" s="17">
        <f>ROUND(VLOOKUP(O$163&amp;"_1",管理者用人口入力シート!CO:DL,Q167,FALSE),0)</f>
        <v>11</v>
      </c>
      <c r="P167" s="17">
        <f>ROUND(VLOOKUP(O$163&amp;"_2",管理者用人口入力シート!CO:DL,Q167,FALSE),0)</f>
        <v>14</v>
      </c>
      <c r="Q167" s="2">
        <v>6</v>
      </c>
    </row>
    <row r="168" spans="7:17" x14ac:dyDescent="0.15">
      <c r="G168" s="2" t="s">
        <v>3</v>
      </c>
      <c r="H168" s="17">
        <f>ROUND(VLOOKUP(H$163&amp;"_1",管理者用人口入力シート!BH:CE,J168,FALSE),0)</f>
        <v>5</v>
      </c>
      <c r="I168" s="17">
        <f>ROUND(VLOOKUP(H$163&amp;"_2",管理者用人口入力シート!BH:CE,J168,FALSE),0)</f>
        <v>11</v>
      </c>
      <c r="J168" s="2">
        <v>7</v>
      </c>
      <c r="N168" s="2" t="s">
        <v>3</v>
      </c>
      <c r="O168" s="17">
        <f>ROUND(VLOOKUP(O$163&amp;"_1",管理者用人口入力シート!CO:DL,Q168,FALSE),0)</f>
        <v>7</v>
      </c>
      <c r="P168" s="17">
        <f>ROUND(VLOOKUP(O$163&amp;"_2",管理者用人口入力シート!CO:DL,Q168,FALSE),0)</f>
        <v>14</v>
      </c>
      <c r="Q168" s="2">
        <v>7</v>
      </c>
    </row>
    <row r="169" spans="7:17" x14ac:dyDescent="0.15">
      <c r="G169" s="2" t="s">
        <v>4</v>
      </c>
      <c r="H169" s="17">
        <f>ROUND(VLOOKUP(H$163&amp;"_1",管理者用人口入力シート!BH:CE,J169,FALSE),0)</f>
        <v>3</v>
      </c>
      <c r="I169" s="17">
        <f>ROUND(VLOOKUP(H$163&amp;"_2",管理者用人口入力シート!BH:CE,J169,FALSE),0)</f>
        <v>8</v>
      </c>
      <c r="J169" s="2">
        <v>8</v>
      </c>
      <c r="N169" s="2" t="s">
        <v>4</v>
      </c>
      <c r="O169" s="17">
        <f>ROUND(VLOOKUP(O$163&amp;"_1",管理者用人口入力シート!CO:DL,Q169,FALSE),0)</f>
        <v>4</v>
      </c>
      <c r="P169" s="17">
        <f>ROUND(VLOOKUP(O$163&amp;"_2",管理者用人口入力シート!CO:DL,Q169,FALSE),0)</f>
        <v>9</v>
      </c>
      <c r="Q169" s="2">
        <v>8</v>
      </c>
    </row>
    <row r="170" spans="7:17" x14ac:dyDescent="0.15">
      <c r="G170" s="2" t="s">
        <v>5</v>
      </c>
      <c r="H170" s="17">
        <f>ROUND(VLOOKUP(H$163&amp;"_1",管理者用人口入力シート!BH:CE,J170,FALSE),0)</f>
        <v>2</v>
      </c>
      <c r="I170" s="17">
        <f>ROUND(VLOOKUP(H$163&amp;"_2",管理者用人口入力シート!BH:CE,J170,FALSE),0)</f>
        <v>8</v>
      </c>
      <c r="J170" s="2">
        <v>9</v>
      </c>
      <c r="N170" s="2" t="s">
        <v>5</v>
      </c>
      <c r="O170" s="17">
        <f>ROUND(VLOOKUP(O$163&amp;"_1",管理者用人口入力シート!CO:DL,Q170,FALSE),0)</f>
        <v>4</v>
      </c>
      <c r="P170" s="17">
        <f>ROUND(VLOOKUP(O$163&amp;"_2",管理者用人口入力シート!CO:DL,Q170,FALSE),0)</f>
        <v>10</v>
      </c>
      <c r="Q170" s="2">
        <v>9</v>
      </c>
    </row>
    <row r="171" spans="7:17" x14ac:dyDescent="0.15">
      <c r="G171" s="2" t="s">
        <v>6</v>
      </c>
      <c r="H171" s="17">
        <f>ROUND(VLOOKUP(H$163&amp;"_1",管理者用人口入力シート!BH:CE,J171,FALSE),0)</f>
        <v>3</v>
      </c>
      <c r="I171" s="17">
        <f>ROUND(VLOOKUP(H$163&amp;"_2",管理者用人口入力シート!BH:CE,J171,FALSE),0)</f>
        <v>5</v>
      </c>
      <c r="J171" s="2">
        <v>10</v>
      </c>
      <c r="N171" s="2" t="s">
        <v>6</v>
      </c>
      <c r="O171" s="17">
        <f>ROUND(VLOOKUP(O$163&amp;"_1",管理者用人口入力シート!CO:DL,Q171,FALSE),0)</f>
        <v>4</v>
      </c>
      <c r="P171" s="17">
        <f>ROUND(VLOOKUP(O$163&amp;"_2",管理者用人口入力シート!CO:DL,Q171,FALSE),0)</f>
        <v>6</v>
      </c>
      <c r="Q171" s="2">
        <v>10</v>
      </c>
    </row>
    <row r="172" spans="7:17" x14ac:dyDescent="0.15">
      <c r="G172" s="2" t="s">
        <v>7</v>
      </c>
      <c r="H172" s="17">
        <f>ROUND(VLOOKUP(H$163&amp;"_1",管理者用人口入力シート!BH:CE,J172,FALSE),0)</f>
        <v>3</v>
      </c>
      <c r="I172" s="17">
        <f>ROUND(VLOOKUP(H$163&amp;"_2",管理者用人口入力シート!BH:CE,J172,FALSE),0)</f>
        <v>8</v>
      </c>
      <c r="J172" s="2">
        <v>11</v>
      </c>
      <c r="N172" s="2" t="s">
        <v>7</v>
      </c>
      <c r="O172" s="17">
        <f>ROUND(VLOOKUP(O$163&amp;"_1",管理者用人口入力シート!CO:DL,Q172,FALSE),0)</f>
        <v>4</v>
      </c>
      <c r="P172" s="17">
        <f>ROUND(VLOOKUP(O$163&amp;"_2",管理者用人口入力シート!CO:DL,Q172,FALSE),0)</f>
        <v>10</v>
      </c>
      <c r="Q172" s="2">
        <v>11</v>
      </c>
    </row>
    <row r="173" spans="7:17" x14ac:dyDescent="0.15">
      <c r="G173" s="2" t="s">
        <v>8</v>
      </c>
      <c r="H173" s="17">
        <f>ROUND(VLOOKUP(H$163&amp;"_1",管理者用人口入力シート!BH:CE,J173,FALSE),0)</f>
        <v>3</v>
      </c>
      <c r="I173" s="17">
        <f>ROUND(VLOOKUP(H$163&amp;"_2",管理者用人口入力シート!BH:CE,J173,FALSE),0)</f>
        <v>7</v>
      </c>
      <c r="J173" s="2">
        <v>12</v>
      </c>
      <c r="N173" s="2" t="s">
        <v>8</v>
      </c>
      <c r="O173" s="17">
        <f>ROUND(VLOOKUP(O$163&amp;"_1",管理者用人口入力シート!CO:DL,Q173,FALSE),0)</f>
        <v>5</v>
      </c>
      <c r="P173" s="17">
        <f>ROUND(VLOOKUP(O$163&amp;"_2",管理者用人口入力シート!CO:DL,Q173,FALSE),0)</f>
        <v>10</v>
      </c>
      <c r="Q173" s="2">
        <v>12</v>
      </c>
    </row>
    <row r="174" spans="7:17" x14ac:dyDescent="0.15">
      <c r="G174" s="2" t="s">
        <v>9</v>
      </c>
      <c r="H174" s="17">
        <f>ROUND(VLOOKUP(H$163&amp;"_1",管理者用人口入力シート!BH:CE,J174,FALSE),0)</f>
        <v>3</v>
      </c>
      <c r="I174" s="17">
        <f>ROUND(VLOOKUP(H$163&amp;"_2",管理者用人口入力シート!BH:CE,J174,FALSE),0)</f>
        <v>10</v>
      </c>
      <c r="J174" s="2">
        <v>13</v>
      </c>
      <c r="N174" s="2" t="s">
        <v>9</v>
      </c>
      <c r="O174" s="17">
        <f>ROUND(VLOOKUP(O$163&amp;"_1",管理者用人口入力シート!CO:DL,Q174,FALSE),0)</f>
        <v>5</v>
      </c>
      <c r="P174" s="17">
        <f>ROUND(VLOOKUP(O$163&amp;"_2",管理者用人口入力シート!CO:DL,Q174,FALSE),0)</f>
        <v>13</v>
      </c>
      <c r="Q174" s="2">
        <v>13</v>
      </c>
    </row>
    <row r="175" spans="7:17" x14ac:dyDescent="0.15">
      <c r="G175" s="2" t="s">
        <v>10</v>
      </c>
      <c r="H175" s="17">
        <f>ROUND(VLOOKUP(H$163&amp;"_1",管理者用人口入力シート!BH:CE,J175,FALSE),0)</f>
        <v>7</v>
      </c>
      <c r="I175" s="17">
        <f>ROUND(VLOOKUP(H$163&amp;"_2",管理者用人口入力シート!BH:CE,J175,FALSE),0)</f>
        <v>9</v>
      </c>
      <c r="J175" s="2">
        <v>14</v>
      </c>
      <c r="N175" s="2" t="s">
        <v>10</v>
      </c>
      <c r="O175" s="17">
        <f>ROUND(VLOOKUP(O$163&amp;"_1",管理者用人口入力シート!CO:DL,Q175,FALSE),0)</f>
        <v>7</v>
      </c>
      <c r="P175" s="17">
        <f>ROUND(VLOOKUP(O$163&amp;"_2",管理者用人口入力シート!CO:DL,Q175,FALSE),0)</f>
        <v>10</v>
      </c>
      <c r="Q175" s="2">
        <v>14</v>
      </c>
    </row>
    <row r="176" spans="7:17" x14ac:dyDescent="0.15">
      <c r="G176" s="2" t="s">
        <v>11</v>
      </c>
      <c r="H176" s="17">
        <f>ROUND(VLOOKUP(H$163&amp;"_1",管理者用人口入力シート!BH:CE,J176,FALSE),0)</f>
        <v>4</v>
      </c>
      <c r="I176" s="17">
        <f>ROUND(VLOOKUP(H$163&amp;"_2",管理者用人口入力シート!BH:CE,J176,FALSE),0)</f>
        <v>8</v>
      </c>
      <c r="J176" s="2">
        <v>15</v>
      </c>
      <c r="N176" s="2" t="s">
        <v>11</v>
      </c>
      <c r="O176" s="17">
        <f>ROUND(VLOOKUP(O$163&amp;"_1",管理者用人口入力シート!CO:DL,Q176,FALSE),0)</f>
        <v>4</v>
      </c>
      <c r="P176" s="17">
        <f>ROUND(VLOOKUP(O$163&amp;"_2",管理者用人口入力シート!CO:DL,Q176,FALSE),0)</f>
        <v>9</v>
      </c>
      <c r="Q176" s="2">
        <v>15</v>
      </c>
    </row>
    <row r="177" spans="7:17" x14ac:dyDescent="0.15">
      <c r="G177" s="2" t="s">
        <v>12</v>
      </c>
      <c r="H177" s="17">
        <f>ROUND(VLOOKUP(H$163&amp;"_1",管理者用人口入力シート!BH:CE,J177,FALSE),0)</f>
        <v>20</v>
      </c>
      <c r="I177" s="17">
        <f>ROUND(VLOOKUP(H$163&amp;"_2",管理者用人口入力シート!BH:CE,J177,FALSE),0)</f>
        <v>17</v>
      </c>
      <c r="J177" s="2">
        <v>16</v>
      </c>
      <c r="N177" s="2" t="s">
        <v>12</v>
      </c>
      <c r="O177" s="17">
        <f>ROUND(VLOOKUP(O$163&amp;"_1",管理者用人口入力シート!CO:DL,Q177,FALSE),0)</f>
        <v>20</v>
      </c>
      <c r="P177" s="17">
        <f>ROUND(VLOOKUP(O$163&amp;"_2",管理者用人口入力シート!CO:DL,Q177,FALSE),0)</f>
        <v>18</v>
      </c>
      <c r="Q177" s="2">
        <v>16</v>
      </c>
    </row>
    <row r="178" spans="7:17" x14ac:dyDescent="0.15">
      <c r="G178" s="2" t="s">
        <v>13</v>
      </c>
      <c r="H178" s="17">
        <f>ROUND(VLOOKUP(H$163&amp;"_1",管理者用人口入力シート!BH:CE,J178,FALSE),0)</f>
        <v>13</v>
      </c>
      <c r="I178" s="17">
        <f>ROUND(VLOOKUP(H$163&amp;"_2",管理者用人口入力シート!BH:CE,J178,FALSE),0)</f>
        <v>13</v>
      </c>
      <c r="J178" s="2">
        <v>17</v>
      </c>
      <c r="N178" s="2" t="s">
        <v>13</v>
      </c>
      <c r="O178" s="17">
        <f>ROUND(VLOOKUP(O$163&amp;"_1",管理者用人口入力シート!CO:DL,Q178,FALSE),0)</f>
        <v>13</v>
      </c>
      <c r="P178" s="17">
        <f>ROUND(VLOOKUP(O$163&amp;"_2",管理者用人口入力シート!CO:DL,Q178,FALSE),0)</f>
        <v>13</v>
      </c>
      <c r="Q178" s="2">
        <v>17</v>
      </c>
    </row>
    <row r="179" spans="7:17" x14ac:dyDescent="0.15">
      <c r="G179" s="2" t="s">
        <v>14</v>
      </c>
      <c r="H179" s="17">
        <f>ROUND(VLOOKUP(H$163&amp;"_1",管理者用人口入力シート!BH:CE,J179,FALSE),0)</f>
        <v>20</v>
      </c>
      <c r="I179" s="17">
        <f>ROUND(VLOOKUP(H$163&amp;"_2",管理者用人口入力シート!BH:CE,J179,FALSE),0)</f>
        <v>25</v>
      </c>
      <c r="J179" s="2">
        <v>18</v>
      </c>
      <c r="N179" s="2" t="s">
        <v>14</v>
      </c>
      <c r="O179" s="17">
        <f>ROUND(VLOOKUP(O$163&amp;"_1",管理者用人口入力シート!CO:DL,Q179,FALSE),0)</f>
        <v>20</v>
      </c>
      <c r="P179" s="17">
        <f>ROUND(VLOOKUP(O$163&amp;"_2",管理者用人口入力シート!CO:DL,Q179,FALSE),0)</f>
        <v>25</v>
      </c>
      <c r="Q179" s="2">
        <v>18</v>
      </c>
    </row>
    <row r="180" spans="7:17" x14ac:dyDescent="0.15">
      <c r="G180" s="2" t="s">
        <v>15</v>
      </c>
      <c r="H180" s="17">
        <f>ROUND(VLOOKUP(H$163&amp;"_1",管理者用人口入力シート!BH:CE,J180,FALSE),0)</f>
        <v>17</v>
      </c>
      <c r="I180" s="17">
        <f>ROUND(VLOOKUP(H$163&amp;"_2",管理者用人口入力シート!BH:CE,J180,FALSE),0)</f>
        <v>22</v>
      </c>
      <c r="J180" s="2">
        <v>19</v>
      </c>
      <c r="N180" s="2" t="s">
        <v>15</v>
      </c>
      <c r="O180" s="17">
        <f>ROUND(VLOOKUP(O$163&amp;"_1",管理者用人口入力シート!CO:DL,Q180,FALSE),0)</f>
        <v>17</v>
      </c>
      <c r="P180" s="17">
        <f>ROUND(VLOOKUP(O$163&amp;"_2",管理者用人口入力シート!CO:DL,Q180,FALSE),0)</f>
        <v>22</v>
      </c>
      <c r="Q180" s="2">
        <v>19</v>
      </c>
    </row>
    <row r="181" spans="7:17" x14ac:dyDescent="0.15">
      <c r="G181" s="2" t="s">
        <v>16</v>
      </c>
      <c r="H181" s="17">
        <f>ROUND(VLOOKUP(H$163&amp;"_1",管理者用人口入力シート!BH:CE,J181,FALSE),0)</f>
        <v>15</v>
      </c>
      <c r="I181" s="17">
        <f>ROUND(VLOOKUP(H$163&amp;"_2",管理者用人口入力シート!BH:CE,J181,FALSE),0)</f>
        <v>19</v>
      </c>
      <c r="J181" s="2">
        <v>20</v>
      </c>
      <c r="N181" s="2" t="s">
        <v>16</v>
      </c>
      <c r="O181" s="17">
        <f>ROUND(VLOOKUP(O$163&amp;"_1",管理者用人口入力シート!CO:DL,Q181,FALSE),0)</f>
        <v>15</v>
      </c>
      <c r="P181" s="17">
        <f>ROUND(VLOOKUP(O$163&amp;"_2",管理者用人口入力シート!CO:DL,Q181,FALSE),0)</f>
        <v>19</v>
      </c>
      <c r="Q181" s="2">
        <v>20</v>
      </c>
    </row>
    <row r="182" spans="7:17" x14ac:dyDescent="0.15">
      <c r="G182" s="2" t="s">
        <v>17</v>
      </c>
      <c r="H182" s="17">
        <f>ROUND(VLOOKUP(H$163&amp;"_1",管理者用人口入力シート!BH:CE,J182,FALSE),0)</f>
        <v>12</v>
      </c>
      <c r="I182" s="17">
        <f>ROUND(VLOOKUP(H$163&amp;"_2",管理者用人口入力シート!BH:CE,J182,FALSE),0)</f>
        <v>17</v>
      </c>
      <c r="J182" s="2">
        <v>21</v>
      </c>
      <c r="N182" s="2" t="s">
        <v>17</v>
      </c>
      <c r="O182" s="17">
        <f>ROUND(VLOOKUP(O$163&amp;"_1",管理者用人口入力シート!CO:DL,Q182,FALSE),0)</f>
        <v>12</v>
      </c>
      <c r="P182" s="17">
        <f>ROUND(VLOOKUP(O$163&amp;"_2",管理者用人口入力シート!CO:DL,Q182,FALSE),0)</f>
        <v>17</v>
      </c>
      <c r="Q182" s="2">
        <v>21</v>
      </c>
    </row>
    <row r="183" spans="7:17" x14ac:dyDescent="0.15">
      <c r="G183" s="2" t="s">
        <v>18</v>
      </c>
      <c r="H183" s="17">
        <f>ROUND(VLOOKUP(H$163&amp;"_1",管理者用人口入力シート!BH:CE,J183,FALSE),0)</f>
        <v>5</v>
      </c>
      <c r="I183" s="17">
        <f>ROUND(VLOOKUP(H$163&amp;"_2",管理者用人口入力シート!BH:CE,J183,FALSE),0)</f>
        <v>11</v>
      </c>
      <c r="J183" s="2">
        <v>22</v>
      </c>
      <c r="N183" s="2" t="s">
        <v>18</v>
      </c>
      <c r="O183" s="17">
        <f>ROUND(VLOOKUP(O$163&amp;"_1",管理者用人口入力シート!CO:DL,Q183,FALSE),0)</f>
        <v>5</v>
      </c>
      <c r="P183" s="17">
        <f>ROUND(VLOOKUP(O$163&amp;"_2",管理者用人口入力シート!CO:DL,Q183,FALSE),0)</f>
        <v>11</v>
      </c>
      <c r="Q183" s="2">
        <v>22</v>
      </c>
    </row>
    <row r="184" spans="7:17" x14ac:dyDescent="0.15">
      <c r="G184" s="2" t="s">
        <v>19</v>
      </c>
      <c r="H184" s="17">
        <f>ROUND(VLOOKUP(H$163&amp;"_1",管理者用人口入力シート!BH:CE,J184,FALSE),0)</f>
        <v>0</v>
      </c>
      <c r="I184" s="17">
        <f>ROUND(VLOOKUP(H$163&amp;"_2",管理者用人口入力シート!BH:CE,J184,FALSE),0)</f>
        <v>3</v>
      </c>
      <c r="J184" s="2">
        <v>23</v>
      </c>
      <c r="N184" s="2" t="s">
        <v>19</v>
      </c>
      <c r="O184" s="17">
        <f>ROUND(VLOOKUP(O$163&amp;"_1",管理者用人口入力シート!CO:DL,Q184,FALSE),0)</f>
        <v>0</v>
      </c>
      <c r="P184" s="17">
        <f>ROUND(VLOOKUP(O$163&amp;"_2",管理者用人口入力シート!CO:DL,Q184,FALSE),0)</f>
        <v>3</v>
      </c>
      <c r="Q184" s="2">
        <v>23</v>
      </c>
    </row>
    <row r="185" spans="7:17" x14ac:dyDescent="0.15">
      <c r="G185" s="2" t="s">
        <v>20</v>
      </c>
      <c r="H185" s="17">
        <f>ROUND(VLOOKUP(H$163&amp;"_1",管理者用人口入力シート!BH:CE,J185,FALSE),0)</f>
        <v>0</v>
      </c>
      <c r="I185" s="17">
        <f>ROUND(VLOOKUP(H$163&amp;"_2",管理者用人口入力シート!BH:CE,J185,FALSE),0)</f>
        <v>0</v>
      </c>
      <c r="J185" s="2">
        <v>24</v>
      </c>
      <c r="N185" s="2" t="s">
        <v>20</v>
      </c>
      <c r="O185" s="17">
        <f>ROUND(VLOOKUP(O$163&amp;"_1",管理者用人口入力シート!CO:DL,Q185,FALSE),0)</f>
        <v>0</v>
      </c>
      <c r="P185" s="17">
        <f>ROUND(VLOOKUP(O$163&amp;"_2",管理者用人口入力シート!CO:DL,Q185,FALSE),0)</f>
        <v>0</v>
      </c>
      <c r="Q185" s="2">
        <v>24</v>
      </c>
    </row>
    <row r="187" spans="7:17" x14ac:dyDescent="0.15">
      <c r="G187" s="2" t="s">
        <v>396</v>
      </c>
      <c r="H187" s="315">
        <f>管理者入力シート!B13</f>
        <v>2050</v>
      </c>
      <c r="I187" s="316"/>
      <c r="J187" s="2" t="s">
        <v>114</v>
      </c>
      <c r="O187" s="315">
        <f>管理者入力シート!B13</f>
        <v>2050</v>
      </c>
      <c r="P187" s="316"/>
      <c r="Q187" s="2" t="s">
        <v>114</v>
      </c>
    </row>
    <row r="188" spans="7:17" x14ac:dyDescent="0.15">
      <c r="G188" s="2" t="s">
        <v>115</v>
      </c>
      <c r="H188" s="18" t="s">
        <v>21</v>
      </c>
      <c r="I188" s="18" t="s">
        <v>22</v>
      </c>
      <c r="N188" s="2" t="s">
        <v>115</v>
      </c>
      <c r="O188" s="18" t="s">
        <v>21</v>
      </c>
      <c r="P188" s="18" t="s">
        <v>22</v>
      </c>
    </row>
    <row r="189" spans="7:17" x14ac:dyDescent="0.15">
      <c r="G189" s="2" t="s">
        <v>0</v>
      </c>
      <c r="H189" s="17">
        <f>ROUND(VLOOKUP(H$187&amp;"_1",管理者用人口入力シート!BH:CE,J189,FALSE),0)</f>
        <v>4</v>
      </c>
      <c r="I189" s="17">
        <f>ROUND(VLOOKUP(H$187&amp;"_2",管理者用人口入力シート!BH:CE,J189,FALSE),0)</f>
        <v>10</v>
      </c>
      <c r="J189" s="2">
        <v>4</v>
      </c>
      <c r="N189" s="2" t="s">
        <v>0</v>
      </c>
      <c r="O189" s="17">
        <f>ROUND(VLOOKUP(O$187&amp;"_1",管理者用人口入力シート!CO:DL,Q189,FALSE),0)</f>
        <v>7</v>
      </c>
      <c r="P189" s="17">
        <f>ROUND(VLOOKUP(O$187&amp;"_2",管理者用人口入力シート!CO:DL,Q189,FALSE),0)</f>
        <v>14</v>
      </c>
      <c r="Q189" s="2">
        <v>4</v>
      </c>
    </row>
    <row r="190" spans="7:17" x14ac:dyDescent="0.15">
      <c r="G190" s="2" t="s">
        <v>1</v>
      </c>
      <c r="H190" s="17">
        <f>ROUND(VLOOKUP(H$187&amp;"_1",管理者用人口入力シート!BH:CE,J190,FALSE),0)</f>
        <v>5</v>
      </c>
      <c r="I190" s="17">
        <f>ROUND(VLOOKUP(H$187&amp;"_2",管理者用人口入力シート!BH:CE,J190,FALSE),0)</f>
        <v>10</v>
      </c>
      <c r="J190" s="2">
        <v>5</v>
      </c>
      <c r="N190" s="2" t="s">
        <v>1</v>
      </c>
      <c r="O190" s="17">
        <f>ROUND(VLOOKUP(O$187&amp;"_1",管理者用人口入力シート!CO:DL,Q190,FALSE),0)</f>
        <v>8</v>
      </c>
      <c r="P190" s="17">
        <f>ROUND(VLOOKUP(O$187&amp;"_2",管理者用人口入力シート!CO:DL,Q190,FALSE),0)</f>
        <v>14</v>
      </c>
      <c r="Q190" s="2">
        <v>5</v>
      </c>
    </row>
    <row r="191" spans="7:17" x14ac:dyDescent="0.15">
      <c r="G191" s="2" t="s">
        <v>2</v>
      </c>
      <c r="H191" s="17">
        <f>ROUND(VLOOKUP(H$187&amp;"_1",管理者用人口入力シート!BH:CE,J191,FALSE),0)</f>
        <v>6</v>
      </c>
      <c r="I191" s="17">
        <f>ROUND(VLOOKUP(H$187&amp;"_2",管理者用人口入力シート!BH:CE,J191,FALSE),0)</f>
        <v>9</v>
      </c>
      <c r="J191" s="2">
        <v>6</v>
      </c>
      <c r="N191" s="2" t="s">
        <v>2</v>
      </c>
      <c r="O191" s="17">
        <f>ROUND(VLOOKUP(O$187&amp;"_1",管理者用人口入力シート!CO:DL,Q191,FALSE),0)</f>
        <v>10</v>
      </c>
      <c r="P191" s="17">
        <f>ROUND(VLOOKUP(O$187&amp;"_2",管理者用人口入力シート!CO:DL,Q191,FALSE),0)</f>
        <v>14</v>
      </c>
      <c r="Q191" s="2">
        <v>6</v>
      </c>
    </row>
    <row r="192" spans="7:17" x14ac:dyDescent="0.15">
      <c r="G192" s="2" t="s">
        <v>3</v>
      </c>
      <c r="H192" s="17">
        <f>ROUND(VLOOKUP(H$187&amp;"_1",管理者用人口入力シート!BH:CE,J192,FALSE),0)</f>
        <v>5</v>
      </c>
      <c r="I192" s="17">
        <f>ROUND(VLOOKUP(H$187&amp;"_2",管理者用人口入力シート!BH:CE,J192,FALSE),0)</f>
        <v>11</v>
      </c>
      <c r="J192" s="2">
        <v>7</v>
      </c>
      <c r="N192" s="2" t="s">
        <v>3</v>
      </c>
      <c r="O192" s="17">
        <f>ROUND(VLOOKUP(O$187&amp;"_1",管理者用人口入力シート!CO:DL,Q192,FALSE),0)</f>
        <v>7</v>
      </c>
      <c r="P192" s="17">
        <f>ROUND(VLOOKUP(O$187&amp;"_2",管理者用人口入力シート!CO:DL,Q192,FALSE),0)</f>
        <v>15</v>
      </c>
      <c r="Q192" s="2">
        <v>7</v>
      </c>
    </row>
    <row r="193" spans="7:17" x14ac:dyDescent="0.15">
      <c r="G193" s="2" t="s">
        <v>4</v>
      </c>
      <c r="H193" s="17">
        <f>ROUND(VLOOKUP(H$187&amp;"_1",管理者用人口入力シート!BH:CE,J193,FALSE),0)</f>
        <v>3</v>
      </c>
      <c r="I193" s="17">
        <f>ROUND(VLOOKUP(H$187&amp;"_2",管理者用人口入力シート!BH:CE,J193,FALSE),0)</f>
        <v>7</v>
      </c>
      <c r="J193" s="2">
        <v>8</v>
      </c>
      <c r="N193" s="2" t="s">
        <v>4</v>
      </c>
      <c r="O193" s="17">
        <f>ROUND(VLOOKUP(O$187&amp;"_1",管理者用人口入力シート!CO:DL,Q193,FALSE),0)</f>
        <v>4</v>
      </c>
      <c r="P193" s="17">
        <f>ROUND(VLOOKUP(O$187&amp;"_2",管理者用人口入力シート!CO:DL,Q193,FALSE),0)</f>
        <v>9</v>
      </c>
      <c r="Q193" s="2">
        <v>8</v>
      </c>
    </row>
    <row r="194" spans="7:17" x14ac:dyDescent="0.15">
      <c r="G194" s="2" t="s">
        <v>5</v>
      </c>
      <c r="H194" s="17">
        <f>ROUND(VLOOKUP(H$187&amp;"_1",管理者用人口入力シート!BH:CE,J194,FALSE),0)</f>
        <v>2</v>
      </c>
      <c r="I194" s="17">
        <f>ROUND(VLOOKUP(H$187&amp;"_2",管理者用人口入力シート!BH:CE,J194,FALSE),0)</f>
        <v>6</v>
      </c>
      <c r="J194" s="2">
        <v>9</v>
      </c>
      <c r="N194" s="2" t="s">
        <v>5</v>
      </c>
      <c r="O194" s="17">
        <f>ROUND(VLOOKUP(O$187&amp;"_1",管理者用人口入力シート!CO:DL,Q194,FALSE),0)</f>
        <v>4</v>
      </c>
      <c r="P194" s="17">
        <f>ROUND(VLOOKUP(O$187&amp;"_2",管理者用人口入力シート!CO:DL,Q194,FALSE),0)</f>
        <v>9</v>
      </c>
      <c r="Q194" s="2">
        <v>9</v>
      </c>
    </row>
    <row r="195" spans="7:17" x14ac:dyDescent="0.15">
      <c r="G195" s="2" t="s">
        <v>6</v>
      </c>
      <c r="H195" s="17">
        <f>ROUND(VLOOKUP(H$187&amp;"_1",管理者用人口入力シート!BH:CE,J195,FALSE),0)</f>
        <v>1</v>
      </c>
      <c r="I195" s="17">
        <f>ROUND(VLOOKUP(H$187&amp;"_2",管理者用人口入力シート!BH:CE,J195,FALSE),0)</f>
        <v>6</v>
      </c>
      <c r="J195" s="2">
        <v>10</v>
      </c>
      <c r="N195" s="2" t="s">
        <v>6</v>
      </c>
      <c r="O195" s="17">
        <f>ROUND(VLOOKUP(O$187&amp;"_1",管理者用人口入力シート!CO:DL,Q195,FALSE),0)</f>
        <v>3</v>
      </c>
      <c r="P195" s="17">
        <f>ROUND(VLOOKUP(O$187&amp;"_2",管理者用人口入力シート!CO:DL,Q195,FALSE),0)</f>
        <v>8</v>
      </c>
      <c r="Q195" s="2">
        <v>10</v>
      </c>
    </row>
    <row r="196" spans="7:17" x14ac:dyDescent="0.15">
      <c r="G196" s="2" t="s">
        <v>7</v>
      </c>
      <c r="H196" s="17">
        <f>ROUND(VLOOKUP(H$187&amp;"_1",管理者用人口入力シート!BH:CE,J196,FALSE),0)</f>
        <v>3</v>
      </c>
      <c r="I196" s="17">
        <f>ROUND(VLOOKUP(H$187&amp;"_2",管理者用人口入力シート!BH:CE,J196,FALSE),0)</f>
        <v>7</v>
      </c>
      <c r="J196" s="2">
        <v>11</v>
      </c>
      <c r="N196" s="2" t="s">
        <v>7</v>
      </c>
      <c r="O196" s="17">
        <f>ROUND(VLOOKUP(O$187&amp;"_1",管理者用人口入力シート!CO:DL,Q196,FALSE),0)</f>
        <v>4</v>
      </c>
      <c r="P196" s="17">
        <f>ROUND(VLOOKUP(O$187&amp;"_2",管理者用人口入力シート!CO:DL,Q196,FALSE),0)</f>
        <v>10</v>
      </c>
      <c r="Q196" s="2">
        <v>11</v>
      </c>
    </row>
    <row r="197" spans="7:17" x14ac:dyDescent="0.15">
      <c r="G197" s="2" t="s">
        <v>8</v>
      </c>
      <c r="H197" s="17">
        <f>ROUND(VLOOKUP(H$187&amp;"_1",管理者用人口入力シート!BH:CE,J197,FALSE),0)</f>
        <v>4</v>
      </c>
      <c r="I197" s="17">
        <f>ROUND(VLOOKUP(H$187&amp;"_2",管理者用人口入力シート!BH:CE,J197,FALSE),0)</f>
        <v>8</v>
      </c>
      <c r="J197" s="2">
        <v>12</v>
      </c>
      <c r="N197" s="2" t="s">
        <v>8</v>
      </c>
      <c r="O197" s="17">
        <f>ROUND(VLOOKUP(O$187&amp;"_1",管理者用人口入力シート!CO:DL,Q197,FALSE),0)</f>
        <v>6</v>
      </c>
      <c r="P197" s="17">
        <f>ROUND(VLOOKUP(O$187&amp;"_2",管理者用人口入力シート!CO:DL,Q197,FALSE),0)</f>
        <v>11</v>
      </c>
      <c r="Q197" s="2">
        <v>12</v>
      </c>
    </row>
    <row r="198" spans="7:17" x14ac:dyDescent="0.15">
      <c r="G198" s="2" t="s">
        <v>9</v>
      </c>
      <c r="H198" s="17">
        <f>ROUND(VLOOKUP(H$187&amp;"_1",管理者用人口入力シート!BH:CE,J198,FALSE),0)</f>
        <v>2</v>
      </c>
      <c r="I198" s="17">
        <f>ROUND(VLOOKUP(H$187&amp;"_2",管理者用人口入力シート!BH:CE,J198,FALSE),0)</f>
        <v>6</v>
      </c>
      <c r="J198" s="2">
        <v>13</v>
      </c>
      <c r="N198" s="2" t="s">
        <v>9</v>
      </c>
      <c r="O198" s="17">
        <f>ROUND(VLOOKUP(O$187&amp;"_1",管理者用人口入力シート!CO:DL,Q198,FALSE),0)</f>
        <v>4</v>
      </c>
      <c r="P198" s="17">
        <f>ROUND(VLOOKUP(O$187&amp;"_2",管理者用人口入力シート!CO:DL,Q198,FALSE),0)</f>
        <v>9</v>
      </c>
      <c r="Q198" s="2">
        <v>13</v>
      </c>
    </row>
    <row r="199" spans="7:17" x14ac:dyDescent="0.15">
      <c r="G199" s="2" t="s">
        <v>10</v>
      </c>
      <c r="H199" s="17">
        <f>ROUND(VLOOKUP(H$187&amp;"_1",管理者用人口入力シート!BH:CE,J199,FALSE),0)</f>
        <v>3</v>
      </c>
      <c r="I199" s="17">
        <f>ROUND(VLOOKUP(H$187&amp;"_2",管理者用人口入力シート!BH:CE,J199,FALSE),0)</f>
        <v>10</v>
      </c>
      <c r="J199" s="2">
        <v>14</v>
      </c>
      <c r="N199" s="2" t="s">
        <v>10</v>
      </c>
      <c r="O199" s="17">
        <f>ROUND(VLOOKUP(O$187&amp;"_1",管理者用人口入力シート!CO:DL,Q199,FALSE),0)</f>
        <v>5</v>
      </c>
      <c r="P199" s="17">
        <f>ROUND(VLOOKUP(O$187&amp;"_2",管理者用人口入力シート!CO:DL,Q199,FALSE),0)</f>
        <v>13</v>
      </c>
      <c r="Q199" s="2">
        <v>14</v>
      </c>
    </row>
    <row r="200" spans="7:17" x14ac:dyDescent="0.15">
      <c r="G200" s="2" t="s">
        <v>11</v>
      </c>
      <c r="H200" s="17">
        <f>ROUND(VLOOKUP(H$187&amp;"_1",管理者用人口入力シート!BH:CE,J200,FALSE),0)</f>
        <v>6</v>
      </c>
      <c r="I200" s="17">
        <f>ROUND(VLOOKUP(H$187&amp;"_2",管理者用人口入力シート!BH:CE,J200,FALSE),0)</f>
        <v>8</v>
      </c>
      <c r="J200" s="2">
        <v>15</v>
      </c>
      <c r="N200" s="2" t="s">
        <v>11</v>
      </c>
      <c r="O200" s="17">
        <f>ROUND(VLOOKUP(O$187&amp;"_1",管理者用人口入力シート!CO:DL,Q200,FALSE),0)</f>
        <v>6</v>
      </c>
      <c r="P200" s="17">
        <f>ROUND(VLOOKUP(O$187&amp;"_2",管理者用人口入力シート!CO:DL,Q200,FALSE),0)</f>
        <v>9</v>
      </c>
      <c r="Q200" s="2">
        <v>15</v>
      </c>
    </row>
    <row r="201" spans="7:17" x14ac:dyDescent="0.15">
      <c r="G201" s="2" t="s">
        <v>12</v>
      </c>
      <c r="H201" s="17">
        <f>ROUND(VLOOKUP(H$187&amp;"_1",管理者用人口入力シート!BH:CE,J201,FALSE),0)</f>
        <v>4</v>
      </c>
      <c r="I201" s="17">
        <f>ROUND(VLOOKUP(H$187&amp;"_2",管理者用人口入力シート!BH:CE,J201,FALSE),0)</f>
        <v>9</v>
      </c>
      <c r="J201" s="2">
        <v>16</v>
      </c>
      <c r="N201" s="2" t="s">
        <v>12</v>
      </c>
      <c r="O201" s="17">
        <f>ROUND(VLOOKUP(O$187&amp;"_1",管理者用人口入力シート!CO:DL,Q201,FALSE),0)</f>
        <v>4</v>
      </c>
      <c r="P201" s="17">
        <f>ROUND(VLOOKUP(O$187&amp;"_2",管理者用人口入力シート!CO:DL,Q201,FALSE),0)</f>
        <v>10</v>
      </c>
      <c r="Q201" s="2">
        <v>16</v>
      </c>
    </row>
    <row r="202" spans="7:17" x14ac:dyDescent="0.15">
      <c r="G202" s="2" t="s">
        <v>13</v>
      </c>
      <c r="H202" s="17">
        <f>ROUND(VLOOKUP(H$187&amp;"_1",管理者用人口入力シート!BH:CE,J202,FALSE),0)</f>
        <v>20</v>
      </c>
      <c r="I202" s="17">
        <f>ROUND(VLOOKUP(H$187&amp;"_2",管理者用人口入力シート!BH:CE,J202,FALSE),0)</f>
        <v>17</v>
      </c>
      <c r="J202" s="2">
        <v>17</v>
      </c>
      <c r="N202" s="2" t="s">
        <v>13</v>
      </c>
      <c r="O202" s="17">
        <f>ROUND(VLOOKUP(O$187&amp;"_1",管理者用人口入力シート!CO:DL,Q202,FALSE),0)</f>
        <v>20</v>
      </c>
      <c r="P202" s="17">
        <f>ROUND(VLOOKUP(O$187&amp;"_2",管理者用人口入力シート!CO:DL,Q202,FALSE),0)</f>
        <v>18</v>
      </c>
      <c r="Q202" s="2">
        <v>17</v>
      </c>
    </row>
    <row r="203" spans="7:17" x14ac:dyDescent="0.15">
      <c r="G203" s="2" t="s">
        <v>14</v>
      </c>
      <c r="H203" s="17">
        <f>ROUND(VLOOKUP(H$187&amp;"_1",管理者用人口入力シート!BH:CE,J203,FALSE),0)</f>
        <v>13</v>
      </c>
      <c r="I203" s="17">
        <f>ROUND(VLOOKUP(H$187&amp;"_2",管理者用人口入力シート!BH:CE,J203,FALSE),0)</f>
        <v>13</v>
      </c>
      <c r="J203" s="2">
        <v>18</v>
      </c>
      <c r="N203" s="2" t="s">
        <v>14</v>
      </c>
      <c r="O203" s="17">
        <f>ROUND(VLOOKUP(O$187&amp;"_1",管理者用人口入力シート!CO:DL,Q203,FALSE),0)</f>
        <v>13</v>
      </c>
      <c r="P203" s="17">
        <f>ROUND(VLOOKUP(O$187&amp;"_2",管理者用人口入力シート!CO:DL,Q203,FALSE),0)</f>
        <v>13</v>
      </c>
      <c r="Q203" s="2">
        <v>18</v>
      </c>
    </row>
    <row r="204" spans="7:17" x14ac:dyDescent="0.15">
      <c r="G204" s="2" t="s">
        <v>15</v>
      </c>
      <c r="H204" s="17">
        <f>ROUND(VLOOKUP(H$187&amp;"_1",管理者用人口入力シート!BH:CE,J204,FALSE),0)</f>
        <v>18</v>
      </c>
      <c r="I204" s="17">
        <f>ROUND(VLOOKUP(H$187&amp;"_2",管理者用人口入力シート!BH:CE,J204,FALSE),0)</f>
        <v>22</v>
      </c>
      <c r="J204" s="2">
        <v>19</v>
      </c>
      <c r="N204" s="2" t="s">
        <v>15</v>
      </c>
      <c r="O204" s="17">
        <f>ROUND(VLOOKUP(O$187&amp;"_1",管理者用人口入力シート!CO:DL,Q204,FALSE),0)</f>
        <v>18</v>
      </c>
      <c r="P204" s="17">
        <f>ROUND(VLOOKUP(O$187&amp;"_2",管理者用人口入力シート!CO:DL,Q204,FALSE),0)</f>
        <v>22</v>
      </c>
      <c r="Q204" s="2">
        <v>19</v>
      </c>
    </row>
    <row r="205" spans="7:17" x14ac:dyDescent="0.15">
      <c r="G205" s="2" t="s">
        <v>16</v>
      </c>
      <c r="H205" s="17">
        <f>ROUND(VLOOKUP(H$187&amp;"_1",管理者用人口入力シート!BH:CE,J205,FALSE),0)</f>
        <v>13</v>
      </c>
      <c r="I205" s="17">
        <f>ROUND(VLOOKUP(H$187&amp;"_2",管理者用人口入力シート!BH:CE,J205,FALSE),0)</f>
        <v>17</v>
      </c>
      <c r="J205" s="2">
        <v>20</v>
      </c>
      <c r="N205" s="2" t="s">
        <v>16</v>
      </c>
      <c r="O205" s="17">
        <f>ROUND(VLOOKUP(O$187&amp;"_1",管理者用人口入力シート!CO:DL,Q205,FALSE),0)</f>
        <v>13</v>
      </c>
      <c r="P205" s="17">
        <f>ROUND(VLOOKUP(O$187&amp;"_2",管理者用人口入力シート!CO:DL,Q205,FALSE),0)</f>
        <v>17</v>
      </c>
      <c r="Q205" s="2">
        <v>20</v>
      </c>
    </row>
    <row r="206" spans="7:17" x14ac:dyDescent="0.15">
      <c r="G206" s="2" t="s">
        <v>17</v>
      </c>
      <c r="H206" s="17">
        <f>ROUND(VLOOKUP(H$187&amp;"_1",管理者用人口入力シート!BH:CE,J206,FALSE),0)</f>
        <v>10</v>
      </c>
      <c r="I206" s="17">
        <f>ROUND(VLOOKUP(H$187&amp;"_2",管理者用人口入力シート!BH:CE,J206,FALSE),0)</f>
        <v>14</v>
      </c>
      <c r="J206" s="2">
        <v>21</v>
      </c>
      <c r="N206" s="2" t="s">
        <v>17</v>
      </c>
      <c r="O206" s="17">
        <f>ROUND(VLOOKUP(O$187&amp;"_1",管理者用人口入力シート!CO:DL,Q206,FALSE),0)</f>
        <v>10</v>
      </c>
      <c r="P206" s="17">
        <f>ROUND(VLOOKUP(O$187&amp;"_2",管理者用人口入力シート!CO:DL,Q206,FALSE),0)</f>
        <v>14</v>
      </c>
      <c r="Q206" s="2">
        <v>21</v>
      </c>
    </row>
    <row r="207" spans="7:17" x14ac:dyDescent="0.15">
      <c r="G207" s="2" t="s">
        <v>18</v>
      </c>
      <c r="H207" s="17">
        <f>ROUND(VLOOKUP(H$187&amp;"_1",管理者用人口入力シート!BH:CE,J207,FALSE),0)</f>
        <v>4</v>
      </c>
      <c r="I207" s="17">
        <f>ROUND(VLOOKUP(H$187&amp;"_2",管理者用人口入力シート!BH:CE,J207,FALSE),0)</f>
        <v>9</v>
      </c>
      <c r="J207" s="2">
        <v>22</v>
      </c>
      <c r="N207" s="2" t="s">
        <v>18</v>
      </c>
      <c r="O207" s="17">
        <f>ROUND(VLOOKUP(O$187&amp;"_1",管理者用人口入力シート!CO:DL,Q207,FALSE),0)</f>
        <v>4</v>
      </c>
      <c r="P207" s="17">
        <f>ROUND(VLOOKUP(O$187&amp;"_2",管理者用人口入力シート!CO:DL,Q207,FALSE),0)</f>
        <v>9</v>
      </c>
      <c r="Q207" s="2">
        <v>22</v>
      </c>
    </row>
    <row r="208" spans="7:17" x14ac:dyDescent="0.15">
      <c r="G208" s="2" t="s">
        <v>19</v>
      </c>
      <c r="H208" s="17">
        <f>ROUND(VLOOKUP(H$187&amp;"_1",管理者用人口入力シート!BH:CE,J208,FALSE),0)</f>
        <v>0</v>
      </c>
      <c r="I208" s="17">
        <f>ROUND(VLOOKUP(H$187&amp;"_2",管理者用人口入力シート!BH:CE,J208,FALSE),0)</f>
        <v>3</v>
      </c>
      <c r="J208" s="2">
        <v>23</v>
      </c>
      <c r="N208" s="2" t="s">
        <v>19</v>
      </c>
      <c r="O208" s="17">
        <f>ROUND(VLOOKUP(O$187&amp;"_1",管理者用人口入力シート!CO:DL,Q208,FALSE),0)</f>
        <v>0</v>
      </c>
      <c r="P208" s="17">
        <f>ROUND(VLOOKUP(O$187&amp;"_2",管理者用人口入力シート!CO:DL,Q208,FALSE),0)</f>
        <v>3</v>
      </c>
      <c r="Q208" s="2">
        <v>23</v>
      </c>
    </row>
    <row r="209" spans="7:17" x14ac:dyDescent="0.15">
      <c r="G209" s="2" t="s">
        <v>20</v>
      </c>
      <c r="H209" s="17">
        <f>ROUND(VLOOKUP(H$187&amp;"_1",管理者用人口入力シート!BH:CE,J209,FALSE),0)</f>
        <v>0</v>
      </c>
      <c r="I209" s="17">
        <f>ROUND(VLOOKUP(H$187&amp;"_2",管理者用人口入力シート!BH:CE,J209,FALSE),0)</f>
        <v>0</v>
      </c>
      <c r="J209" s="2">
        <v>24</v>
      </c>
      <c r="N209" s="2" t="s">
        <v>20</v>
      </c>
      <c r="O209" s="17">
        <f>ROUND(VLOOKUP(O$187&amp;"_1",管理者用人口入力シート!CO:DL,Q209,FALSE),0)</f>
        <v>0</v>
      </c>
      <c r="P209" s="17">
        <f>ROUND(VLOOKUP(O$187&amp;"_2",管理者用人口入力シート!CO:DL,Q209,FALSE),0)</f>
        <v>0</v>
      </c>
      <c r="Q209" s="2">
        <v>24</v>
      </c>
    </row>
    <row r="212" spans="7:17" x14ac:dyDescent="0.15">
      <c r="N212" s="2" t="s">
        <v>273</v>
      </c>
      <c r="O212" s="315">
        <f>O91</f>
        <v>2030</v>
      </c>
      <c r="P212" s="316"/>
      <c r="Q212" s="2" t="s">
        <v>114</v>
      </c>
    </row>
    <row r="213" spans="7:17" x14ac:dyDescent="0.15">
      <c r="N213" s="2" t="s">
        <v>115</v>
      </c>
      <c r="O213" s="78" t="s">
        <v>329</v>
      </c>
      <c r="P213" s="78" t="s">
        <v>330</v>
      </c>
    </row>
    <row r="214" spans="7:17" x14ac:dyDescent="0.15">
      <c r="N214" s="2" t="s">
        <v>0</v>
      </c>
      <c r="O214" s="17">
        <f>H93+I93</f>
        <v>16</v>
      </c>
      <c r="P214" s="17">
        <f>O93+P93</f>
        <v>21</v>
      </c>
      <c r="Q214" s="2">
        <v>4</v>
      </c>
    </row>
    <row r="215" spans="7:17" x14ac:dyDescent="0.15">
      <c r="N215" s="2" t="s">
        <v>1</v>
      </c>
      <c r="O215" s="17">
        <f t="shared" ref="O215:O233" si="37">H94+I94</f>
        <v>18</v>
      </c>
      <c r="P215" s="17">
        <f t="shared" ref="P215:P233" si="38">O94+P94</f>
        <v>21</v>
      </c>
      <c r="Q215" s="2">
        <v>5</v>
      </c>
    </row>
    <row r="216" spans="7:17" x14ac:dyDescent="0.15">
      <c r="N216" s="2" t="s">
        <v>2</v>
      </c>
      <c r="O216" s="17">
        <f t="shared" si="37"/>
        <v>24</v>
      </c>
      <c r="P216" s="17">
        <f t="shared" si="38"/>
        <v>26</v>
      </c>
      <c r="Q216" s="2">
        <v>6</v>
      </c>
    </row>
    <row r="217" spans="7:17" x14ac:dyDescent="0.15">
      <c r="N217" s="2" t="s">
        <v>3</v>
      </c>
      <c r="O217" s="17">
        <f t="shared" si="37"/>
        <v>24</v>
      </c>
      <c r="P217" s="17">
        <f t="shared" si="38"/>
        <v>26</v>
      </c>
      <c r="Q217" s="2">
        <v>7</v>
      </c>
    </row>
    <row r="218" spans="7:17" x14ac:dyDescent="0.15">
      <c r="N218" s="2" t="s">
        <v>4</v>
      </c>
      <c r="O218" s="17">
        <f t="shared" si="37"/>
        <v>16</v>
      </c>
      <c r="P218" s="17">
        <f t="shared" si="38"/>
        <v>16</v>
      </c>
      <c r="Q218" s="2">
        <v>8</v>
      </c>
    </row>
    <row r="219" spans="7:17" x14ac:dyDescent="0.15">
      <c r="N219" s="2" t="s">
        <v>5</v>
      </c>
      <c r="O219" s="17">
        <f t="shared" si="37"/>
        <v>9</v>
      </c>
      <c r="P219" s="17">
        <f t="shared" si="38"/>
        <v>13</v>
      </c>
      <c r="Q219" s="2">
        <v>9</v>
      </c>
    </row>
    <row r="220" spans="7:17" x14ac:dyDescent="0.15">
      <c r="N220" s="2" t="s">
        <v>6</v>
      </c>
      <c r="O220" s="17">
        <f t="shared" si="37"/>
        <v>9</v>
      </c>
      <c r="P220" s="17">
        <f t="shared" si="38"/>
        <v>11</v>
      </c>
      <c r="Q220" s="2">
        <v>10</v>
      </c>
    </row>
    <row r="221" spans="7:17" x14ac:dyDescent="0.15">
      <c r="N221" s="2" t="s">
        <v>7</v>
      </c>
      <c r="O221" s="17">
        <f t="shared" si="37"/>
        <v>14</v>
      </c>
      <c r="P221" s="17">
        <f t="shared" si="38"/>
        <v>14</v>
      </c>
      <c r="Q221" s="2">
        <v>11</v>
      </c>
    </row>
    <row r="222" spans="7:17" x14ac:dyDescent="0.15">
      <c r="N222" s="2" t="s">
        <v>8</v>
      </c>
      <c r="O222" s="17">
        <f t="shared" si="37"/>
        <v>15</v>
      </c>
      <c r="P222" s="17">
        <f t="shared" si="38"/>
        <v>16</v>
      </c>
      <c r="Q222" s="2">
        <v>12</v>
      </c>
    </row>
    <row r="223" spans="7:17" x14ac:dyDescent="0.15">
      <c r="N223" s="2" t="s">
        <v>9</v>
      </c>
      <c r="O223" s="17">
        <f t="shared" si="37"/>
        <v>37</v>
      </c>
      <c r="P223" s="17">
        <f t="shared" si="38"/>
        <v>38</v>
      </c>
      <c r="Q223" s="2">
        <v>13</v>
      </c>
    </row>
    <row r="224" spans="7:17" x14ac:dyDescent="0.15">
      <c r="N224" s="2" t="s">
        <v>10</v>
      </c>
      <c r="O224" s="17">
        <f t="shared" si="37"/>
        <v>26</v>
      </c>
      <c r="P224" s="17">
        <f t="shared" si="38"/>
        <v>26</v>
      </c>
      <c r="Q224" s="2">
        <v>14</v>
      </c>
    </row>
    <row r="225" spans="14:17" x14ac:dyDescent="0.15">
      <c r="N225" s="2" t="s">
        <v>11</v>
      </c>
      <c r="O225" s="17">
        <f t="shared" si="37"/>
        <v>40</v>
      </c>
      <c r="P225" s="17">
        <f t="shared" si="38"/>
        <v>40</v>
      </c>
      <c r="Q225" s="2">
        <v>15</v>
      </c>
    </row>
    <row r="226" spans="14:17" x14ac:dyDescent="0.15">
      <c r="N226" s="2" t="s">
        <v>12</v>
      </c>
      <c r="O226" s="17">
        <f t="shared" si="37"/>
        <v>45</v>
      </c>
      <c r="P226" s="17">
        <f t="shared" si="38"/>
        <v>45</v>
      </c>
      <c r="Q226" s="2">
        <v>16</v>
      </c>
    </row>
    <row r="227" spans="14:17" x14ac:dyDescent="0.15">
      <c r="N227" s="2" t="s">
        <v>13</v>
      </c>
      <c r="O227" s="17">
        <f t="shared" si="37"/>
        <v>51</v>
      </c>
      <c r="P227" s="17">
        <f t="shared" si="38"/>
        <v>51</v>
      </c>
      <c r="Q227" s="2">
        <v>17</v>
      </c>
    </row>
    <row r="228" spans="14:17" x14ac:dyDescent="0.15">
      <c r="N228" s="2" t="s">
        <v>14</v>
      </c>
      <c r="O228" s="17">
        <f t="shared" si="37"/>
        <v>59</v>
      </c>
      <c r="P228" s="17">
        <f t="shared" si="38"/>
        <v>59</v>
      </c>
      <c r="Q228" s="2">
        <v>18</v>
      </c>
    </row>
    <row r="229" spans="14:17" x14ac:dyDescent="0.15">
      <c r="N229" s="2" t="s">
        <v>15</v>
      </c>
      <c r="O229" s="17">
        <f t="shared" si="37"/>
        <v>60</v>
      </c>
      <c r="P229" s="17">
        <f t="shared" si="38"/>
        <v>60</v>
      </c>
      <c r="Q229" s="2">
        <v>19</v>
      </c>
    </row>
    <row r="230" spans="14:17" x14ac:dyDescent="0.15">
      <c r="N230" s="2" t="s">
        <v>16</v>
      </c>
      <c r="O230" s="17">
        <f t="shared" si="37"/>
        <v>52</v>
      </c>
      <c r="P230" s="17">
        <f t="shared" si="38"/>
        <v>52</v>
      </c>
      <c r="Q230" s="2">
        <v>20</v>
      </c>
    </row>
    <row r="231" spans="14:17" x14ac:dyDescent="0.15">
      <c r="N231" s="2" t="s">
        <v>17</v>
      </c>
      <c r="O231" s="17">
        <f t="shared" si="37"/>
        <v>30</v>
      </c>
      <c r="P231" s="17">
        <f t="shared" si="38"/>
        <v>30</v>
      </c>
      <c r="Q231" s="2">
        <v>21</v>
      </c>
    </row>
    <row r="232" spans="14:17" x14ac:dyDescent="0.15">
      <c r="N232" s="2" t="s">
        <v>18</v>
      </c>
      <c r="O232" s="17">
        <f t="shared" si="37"/>
        <v>14</v>
      </c>
      <c r="P232" s="17">
        <f t="shared" si="38"/>
        <v>14</v>
      </c>
      <c r="Q232" s="2">
        <v>22</v>
      </c>
    </row>
    <row r="233" spans="14:17" x14ac:dyDescent="0.15">
      <c r="N233" s="2" t="s">
        <v>19</v>
      </c>
      <c r="O233" s="17">
        <f t="shared" si="37"/>
        <v>3</v>
      </c>
      <c r="P233" s="17">
        <f t="shared" si="38"/>
        <v>3</v>
      </c>
      <c r="Q233" s="2">
        <v>23</v>
      </c>
    </row>
    <row r="234" spans="14:17" x14ac:dyDescent="0.15">
      <c r="N234" s="2" t="s">
        <v>20</v>
      </c>
      <c r="O234" s="17">
        <f>H113+I113</f>
        <v>0</v>
      </c>
      <c r="P234" s="17">
        <f>O113+P113</f>
        <v>0</v>
      </c>
      <c r="Q234" s="2">
        <v>24</v>
      </c>
    </row>
    <row r="236" spans="14:17" x14ac:dyDescent="0.15">
      <c r="N236" s="2" t="s">
        <v>273</v>
      </c>
      <c r="O236" s="315">
        <f>O139</f>
        <v>2040</v>
      </c>
      <c r="P236" s="316"/>
      <c r="Q236" s="2" t="s">
        <v>114</v>
      </c>
    </row>
    <row r="237" spans="14:17" x14ac:dyDescent="0.15">
      <c r="N237" s="2" t="s">
        <v>115</v>
      </c>
      <c r="O237" s="78" t="s">
        <v>329</v>
      </c>
      <c r="P237" s="78" t="s">
        <v>330</v>
      </c>
    </row>
    <row r="238" spans="14:17" x14ac:dyDescent="0.15">
      <c r="N238" s="2" t="s">
        <v>0</v>
      </c>
      <c r="O238" s="17">
        <f>H141+I141</f>
        <v>15</v>
      </c>
      <c r="P238" s="17">
        <f>O141+P141</f>
        <v>21</v>
      </c>
      <c r="Q238" s="2">
        <v>4</v>
      </c>
    </row>
    <row r="239" spans="14:17" x14ac:dyDescent="0.15">
      <c r="N239" s="2" t="s">
        <v>1</v>
      </c>
      <c r="O239" s="17">
        <f t="shared" ref="O239:O257" si="39">H142+I142</f>
        <v>17</v>
      </c>
      <c r="P239" s="17">
        <f t="shared" ref="P239:P257" si="40">O142+P142</f>
        <v>23</v>
      </c>
      <c r="Q239" s="2">
        <v>5</v>
      </c>
    </row>
    <row r="240" spans="14:17" x14ac:dyDescent="0.15">
      <c r="N240" s="2" t="s">
        <v>2</v>
      </c>
      <c r="O240" s="17">
        <f t="shared" si="39"/>
        <v>17</v>
      </c>
      <c r="P240" s="17">
        <f t="shared" si="40"/>
        <v>23</v>
      </c>
      <c r="Q240" s="2">
        <v>6</v>
      </c>
    </row>
    <row r="241" spans="14:17" x14ac:dyDescent="0.15">
      <c r="N241" s="2" t="s">
        <v>3</v>
      </c>
      <c r="O241" s="17">
        <f t="shared" si="39"/>
        <v>17</v>
      </c>
      <c r="P241" s="17">
        <f t="shared" si="40"/>
        <v>21</v>
      </c>
      <c r="Q241" s="2">
        <v>7</v>
      </c>
    </row>
    <row r="242" spans="14:17" x14ac:dyDescent="0.15">
      <c r="N242" s="2" t="s">
        <v>4</v>
      </c>
      <c r="O242" s="17">
        <f t="shared" si="39"/>
        <v>14</v>
      </c>
      <c r="P242" s="17">
        <f t="shared" si="40"/>
        <v>15</v>
      </c>
      <c r="Q242" s="2">
        <v>8</v>
      </c>
    </row>
    <row r="243" spans="14:17" x14ac:dyDescent="0.15">
      <c r="N243" s="2" t="s">
        <v>5</v>
      </c>
      <c r="O243" s="17">
        <f t="shared" si="39"/>
        <v>10</v>
      </c>
      <c r="P243" s="17">
        <f t="shared" si="40"/>
        <v>15</v>
      </c>
      <c r="Q243" s="2">
        <v>9</v>
      </c>
    </row>
    <row r="244" spans="14:17" x14ac:dyDescent="0.15">
      <c r="N244" s="2" t="s">
        <v>6</v>
      </c>
      <c r="O244" s="17">
        <f t="shared" si="39"/>
        <v>8</v>
      </c>
      <c r="P244" s="17">
        <f t="shared" si="40"/>
        <v>10</v>
      </c>
      <c r="Q244" s="2">
        <v>10</v>
      </c>
    </row>
    <row r="245" spans="14:17" x14ac:dyDescent="0.15">
      <c r="N245" s="2" t="s">
        <v>7</v>
      </c>
      <c r="O245" s="17">
        <f t="shared" si="39"/>
        <v>9</v>
      </c>
      <c r="P245" s="17">
        <f t="shared" si="40"/>
        <v>12</v>
      </c>
      <c r="Q245" s="2">
        <v>11</v>
      </c>
    </row>
    <row r="246" spans="14:17" x14ac:dyDescent="0.15">
      <c r="N246" s="2" t="s">
        <v>8</v>
      </c>
      <c r="O246" s="17">
        <f t="shared" si="39"/>
        <v>14</v>
      </c>
      <c r="P246" s="17">
        <f t="shared" si="40"/>
        <v>19</v>
      </c>
      <c r="Q246" s="2">
        <v>12</v>
      </c>
    </row>
    <row r="247" spans="14:17" x14ac:dyDescent="0.15">
      <c r="N247" s="2" t="s">
        <v>9</v>
      </c>
      <c r="O247" s="17">
        <f t="shared" si="39"/>
        <v>16</v>
      </c>
      <c r="P247" s="17">
        <f t="shared" si="40"/>
        <v>16</v>
      </c>
      <c r="Q247" s="2">
        <v>13</v>
      </c>
    </row>
    <row r="248" spans="14:17" x14ac:dyDescent="0.15">
      <c r="N248" s="2" t="s">
        <v>10</v>
      </c>
      <c r="O248" s="17">
        <f t="shared" si="39"/>
        <v>13</v>
      </c>
      <c r="P248" s="17">
        <f t="shared" si="40"/>
        <v>14</v>
      </c>
      <c r="Q248" s="2">
        <v>14</v>
      </c>
    </row>
    <row r="249" spans="14:17" x14ac:dyDescent="0.15">
      <c r="N249" s="2" t="s">
        <v>11</v>
      </c>
      <c r="O249" s="17">
        <f t="shared" si="39"/>
        <v>32</v>
      </c>
      <c r="P249" s="17">
        <f t="shared" si="40"/>
        <v>33</v>
      </c>
      <c r="Q249" s="2">
        <v>15</v>
      </c>
    </row>
    <row r="250" spans="14:17" x14ac:dyDescent="0.15">
      <c r="N250" s="2" t="s">
        <v>12</v>
      </c>
      <c r="O250" s="17">
        <f t="shared" si="39"/>
        <v>26</v>
      </c>
      <c r="P250" s="17">
        <f t="shared" si="40"/>
        <v>26</v>
      </c>
      <c r="Q250" s="2">
        <v>16</v>
      </c>
    </row>
    <row r="251" spans="14:17" x14ac:dyDescent="0.15">
      <c r="N251" s="2" t="s">
        <v>13</v>
      </c>
      <c r="O251" s="17">
        <f t="shared" si="39"/>
        <v>46</v>
      </c>
      <c r="P251" s="17">
        <f t="shared" si="40"/>
        <v>46</v>
      </c>
      <c r="Q251" s="2">
        <v>17</v>
      </c>
    </row>
    <row r="252" spans="14:17" x14ac:dyDescent="0.15">
      <c r="N252" s="2" t="s">
        <v>14</v>
      </c>
      <c r="O252" s="17">
        <f t="shared" si="39"/>
        <v>44</v>
      </c>
      <c r="P252" s="17">
        <f t="shared" si="40"/>
        <v>44</v>
      </c>
      <c r="Q252" s="2">
        <v>18</v>
      </c>
    </row>
    <row r="253" spans="14:17" x14ac:dyDescent="0.15">
      <c r="N253" s="2" t="s">
        <v>15</v>
      </c>
      <c r="O253" s="17">
        <f t="shared" si="39"/>
        <v>44</v>
      </c>
      <c r="P253" s="17">
        <f t="shared" si="40"/>
        <v>44</v>
      </c>
      <c r="Q253" s="2">
        <v>19</v>
      </c>
    </row>
    <row r="254" spans="14:17" x14ac:dyDescent="0.15">
      <c r="N254" s="2" t="s">
        <v>16</v>
      </c>
      <c r="O254" s="17">
        <f t="shared" si="39"/>
        <v>40</v>
      </c>
      <c r="P254" s="17">
        <f t="shared" si="40"/>
        <v>40</v>
      </c>
      <c r="Q254" s="2">
        <v>20</v>
      </c>
    </row>
    <row r="255" spans="14:17" x14ac:dyDescent="0.15">
      <c r="N255" s="2" t="s">
        <v>17</v>
      </c>
      <c r="O255" s="17">
        <f t="shared" si="39"/>
        <v>33</v>
      </c>
      <c r="P255" s="17">
        <f t="shared" si="40"/>
        <v>33</v>
      </c>
      <c r="Q255" s="2">
        <v>21</v>
      </c>
    </row>
    <row r="256" spans="14:17" x14ac:dyDescent="0.15">
      <c r="N256" s="2" t="s">
        <v>18</v>
      </c>
      <c r="O256" s="17">
        <f t="shared" si="39"/>
        <v>17</v>
      </c>
      <c r="P256" s="17">
        <f t="shared" si="40"/>
        <v>17</v>
      </c>
      <c r="Q256" s="2">
        <v>22</v>
      </c>
    </row>
    <row r="257" spans="14:17" x14ac:dyDescent="0.15">
      <c r="N257" s="2" t="s">
        <v>19</v>
      </c>
      <c r="O257" s="17">
        <f t="shared" si="39"/>
        <v>3</v>
      </c>
      <c r="P257" s="17">
        <f t="shared" si="40"/>
        <v>3</v>
      </c>
      <c r="Q257" s="2">
        <v>23</v>
      </c>
    </row>
    <row r="258" spans="14:17" x14ac:dyDescent="0.15">
      <c r="N258" s="2" t="s">
        <v>20</v>
      </c>
      <c r="O258" s="17">
        <f>H161+I161</f>
        <v>0</v>
      </c>
      <c r="P258" s="17">
        <f>O161+P161</f>
        <v>0</v>
      </c>
      <c r="Q258" s="2">
        <v>24</v>
      </c>
    </row>
  </sheetData>
  <mergeCells count="17">
    <mergeCell ref="O236:P236"/>
    <mergeCell ref="B39:C39"/>
    <mergeCell ref="H91:I91"/>
    <mergeCell ref="O67:P67"/>
    <mergeCell ref="O91:P91"/>
    <mergeCell ref="O212:P212"/>
    <mergeCell ref="H67:I67"/>
    <mergeCell ref="B63:C63"/>
    <mergeCell ref="B87:C87"/>
    <mergeCell ref="H115:I115"/>
    <mergeCell ref="H139:I139"/>
    <mergeCell ref="O115:P115"/>
    <mergeCell ref="O139:P139"/>
    <mergeCell ref="O163:P163"/>
    <mergeCell ref="O187:P187"/>
    <mergeCell ref="H163:I163"/>
    <mergeCell ref="H187:I187"/>
  </mergeCells>
  <phoneticPr fontId="2"/>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6</vt:i4>
      </vt:variant>
    </vt:vector>
  </HeadingPairs>
  <TitlesOfParts>
    <vt:vector size="16" baseType="lpstr">
      <vt:lpstr>表紙</vt:lpstr>
      <vt:lpstr>現況シート</vt:lpstr>
      <vt:lpstr>将来予測シート①</vt:lpstr>
      <vt:lpstr>将来予測シート②</vt:lpstr>
      <vt:lpstr>地域特徴シート</vt:lpstr>
      <vt:lpstr>おわりに</vt:lpstr>
      <vt:lpstr>管理者入力シート</vt:lpstr>
      <vt:lpstr>管理者用人口入力シート</vt:lpstr>
      <vt:lpstr>管理者用グラフシート</vt:lpstr>
      <vt:lpstr>管理者用地域特徴シート</vt:lpstr>
      <vt:lpstr>おわりに!Print_Area</vt:lpstr>
      <vt:lpstr>現況シート!Print_Area</vt:lpstr>
      <vt:lpstr>将来予測シート①!Print_Area</vt:lpstr>
      <vt:lpstr>将来予測シート②!Print_Area</vt:lpstr>
      <vt:lpstr>地域特徴シート!Print_Area</vt:lpstr>
      <vt:lpstr>表紙!Print_Area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ups201603</dc:creator>
  <cp:lastModifiedBy>yamashita yoshihisa</cp:lastModifiedBy>
  <cp:lastPrinted>2019-03-18T12:17:25Z</cp:lastPrinted>
  <dcterms:created xsi:type="dcterms:W3CDTF">2018-08-17T00:57:13Z</dcterms:created>
  <dcterms:modified xsi:type="dcterms:W3CDTF">2023-03-06T05:21:33Z</dcterms:modified>
</cp:coreProperties>
</file>